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7.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8.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style1.xml" ContentType="application/vnd.ms-office.chartstyle+xml"/>
  <Override PartName="/xl/charts/colors1.xml" ContentType="application/vnd.ms-office.chartcolorstyle+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harts/chart55.xml" ContentType="application/vnd.openxmlformats-officedocument.drawingml.chart+xml"/>
  <Override PartName="/xl/drawings/drawing11.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2.xml" ContentType="application/vnd.openxmlformats-officedocument.drawing+xml"/>
  <Override PartName="/xl/comments3.xml" ContentType="application/vnd.openxmlformats-officedocument.spreadsheetml.comments+xml"/>
  <Override PartName="/xl/charts/chart6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4.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5.xml" ContentType="application/vnd.openxmlformats-officedocument.drawing+xml"/>
  <Override PartName="/xl/comments4.xml" ContentType="application/vnd.openxmlformats-officedocument.spreadsheetml.comments+xml"/>
  <Override PartName="/xl/charts/chart69.xml" ContentType="application/vnd.openxmlformats-officedocument.drawingml.chart+xml"/>
  <Override PartName="/xl/charts/style3.xml" ContentType="application/vnd.ms-office.chartstyle+xml"/>
  <Override PartName="/xl/charts/colors3.xml" ContentType="application/vnd.ms-office.chartcolorstyle+xml"/>
  <Override PartName="/xl/charts/chart70.xml" ContentType="application/vnd.openxmlformats-officedocument.drawingml.chart+xml"/>
  <Override PartName="/xl/charts/chart7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Manuela COLLON\Documents\LTV\TABLEAU COLLECTE DE DONNEES LTV\"/>
    </mc:Choice>
  </mc:AlternateContent>
  <xr:revisionPtr revIDLastSave="0" documentId="13_ncr:1_{03C1383A-8A00-4988-821C-C25D1A75BC93}" xr6:coauthVersionLast="47" xr6:coauthVersionMax="47" xr10:uidLastSave="{00000000-0000-0000-0000-000000000000}"/>
  <bookViews>
    <workbookView xWindow="20370" yWindow="-120" windowWidth="29040" windowHeight="15840" firstSheet="12" activeTab="15" xr2:uid="{00000000-000D-0000-FFFF-FFFF00000000}"/>
  </bookViews>
  <sheets>
    <sheet name="Avancement du Dossier" sheetId="1" r:id="rId1"/>
    <sheet name="Synthèses graphiques" sheetId="2" r:id="rId2"/>
    <sheet name="1- DONNÉES FINANCIÈRES" sheetId="3" r:id="rId3"/>
    <sheet name="2- LIEUX" sheetId="4" r:id="rId4"/>
    <sheet name="3- VEHICULES LEGERS" sheetId="5" r:id="rId5"/>
    <sheet name="4- VEHICULES UTILITAIRES" sheetId="6" r:id="rId6"/>
    <sheet name="5- VEHICULES DE JEU" sheetId="7" r:id="rId7"/>
    <sheet name="6- HÉBERGEMENT" sheetId="8" r:id="rId8"/>
    <sheet name="7- DÉPLACEMENTS PERSONNES" sheetId="9" r:id="rId9"/>
    <sheet name="8- REPAS" sheetId="10" r:id="rId10"/>
    <sheet name="9- DÉCHETS" sheetId="11" r:id="rId11"/>
    <sheet name="10- MOYENS TECHNIQUES" sheetId="12" r:id="rId12"/>
    <sheet name="11-MOYENS SPECIAUX PRISE DE VUE" sheetId="13" r:id="rId13"/>
    <sheet name="12- CARS PROD &amp; REGIE" sheetId="14" r:id="rId14"/>
    <sheet name="13- CANTINES &amp; LOGES" sheetId="15" r:id="rId15"/>
    <sheet name="14- GROUPES ELECTRO" sheetId="16" r:id="rId16"/>
    <sheet name="15- DATA &amp; POST-PROD" sheetId="17" r:id="rId17"/>
    <sheet name="Données"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2" roundtripDataChecksum="E32U35J5KHwHvXgIhbHgw/edzHnGiDVnl5QbxmHgfiE="/>
    </ext>
  </extLst>
</workbook>
</file>

<file path=xl/calcChain.xml><?xml version="1.0" encoding="utf-8"?>
<calcChain xmlns="http://schemas.openxmlformats.org/spreadsheetml/2006/main">
  <c r="G129" i="9" l="1"/>
  <c r="G130" i="9"/>
  <c r="G131" i="9"/>
  <c r="G132" i="9"/>
  <c r="G133" i="9"/>
  <c r="G134" i="9"/>
  <c r="G106" i="9"/>
  <c r="G107" i="9"/>
  <c r="G108" i="9"/>
  <c r="G109" i="9"/>
  <c r="G110" i="9"/>
  <c r="G111" i="9"/>
  <c r="G112" i="9"/>
  <c r="G113" i="9"/>
  <c r="G114" i="9"/>
  <c r="G115" i="9"/>
  <c r="G116" i="9"/>
  <c r="G117" i="9"/>
  <c r="G118" i="9"/>
  <c r="G119" i="9"/>
  <c r="G120" i="9"/>
  <c r="G121" i="9"/>
  <c r="G122" i="9"/>
  <c r="G123" i="9"/>
  <c r="G124" i="9"/>
  <c r="G125" i="9"/>
  <c r="G126" i="9"/>
  <c r="G127" i="9"/>
  <c r="G128" i="9"/>
  <c r="G85" i="9"/>
  <c r="G86" i="9"/>
  <c r="G87" i="9"/>
  <c r="G88" i="9"/>
  <c r="G89" i="9"/>
  <c r="G90" i="9"/>
  <c r="G91" i="9"/>
  <c r="G92" i="9"/>
  <c r="G93" i="9"/>
  <c r="G94" i="9"/>
  <c r="G95" i="9"/>
  <c r="G96" i="9"/>
  <c r="G97" i="9"/>
  <c r="G98" i="9"/>
  <c r="G99" i="9"/>
  <c r="G100" i="9"/>
  <c r="G101" i="9"/>
  <c r="G102" i="9"/>
  <c r="G103" i="9"/>
  <c r="G104" i="9"/>
  <c r="G105" i="9"/>
  <c r="G72" i="9"/>
  <c r="G73" i="9"/>
  <c r="G74" i="9"/>
  <c r="G75" i="9"/>
  <c r="G76" i="9"/>
  <c r="G77" i="9"/>
  <c r="G78" i="9"/>
  <c r="G79" i="9"/>
  <c r="G80" i="9"/>
  <c r="G81" i="9"/>
  <c r="G82" i="9"/>
  <c r="G83" i="9"/>
  <c r="G84" i="9"/>
  <c r="G55" i="9"/>
  <c r="G56" i="9"/>
  <c r="G57" i="9"/>
  <c r="G58" i="9"/>
  <c r="G59" i="9"/>
  <c r="G60" i="9"/>
  <c r="G61" i="9"/>
  <c r="G62" i="9"/>
  <c r="G63" i="9"/>
  <c r="G64" i="9"/>
  <c r="G65" i="9"/>
  <c r="G66" i="9"/>
  <c r="G67" i="9"/>
  <c r="G37" i="9"/>
  <c r="G38" i="9"/>
  <c r="G39" i="9"/>
  <c r="G40" i="9"/>
  <c r="G41" i="9"/>
  <c r="G42" i="9"/>
  <c r="G43" i="9"/>
  <c r="G44" i="9"/>
  <c r="G45" i="9"/>
  <c r="G46" i="9"/>
  <c r="G47" i="9"/>
  <c r="G48" i="9"/>
  <c r="G49" i="9"/>
  <c r="G50" i="9"/>
  <c r="G51" i="9"/>
  <c r="G52" i="9"/>
  <c r="G53" i="9"/>
  <c r="G54" i="9"/>
  <c r="G17" i="9"/>
  <c r="G18" i="9"/>
  <c r="G19" i="9"/>
  <c r="G20" i="9"/>
  <c r="G21" i="9"/>
  <c r="G22" i="9"/>
  <c r="G23" i="9"/>
  <c r="G24" i="9"/>
  <c r="G25" i="9"/>
  <c r="G26" i="9"/>
  <c r="G27" i="9"/>
  <c r="G28" i="9"/>
  <c r="G29" i="9"/>
  <c r="G30" i="9"/>
  <c r="G31" i="9"/>
  <c r="G32" i="9"/>
  <c r="G33" i="9"/>
  <c r="G34" i="9"/>
  <c r="G35" i="9"/>
  <c r="G36" i="9"/>
  <c r="J100" i="5"/>
  <c r="J99" i="5"/>
  <c r="J98" i="5"/>
  <c r="J97" i="5"/>
  <c r="J96" i="5"/>
  <c r="J95" i="5"/>
  <c r="J94" i="5"/>
  <c r="J93" i="5"/>
  <c r="J92" i="5"/>
  <c r="J91" i="5"/>
  <c r="I34" i="8" l="1"/>
  <c r="I35" i="8"/>
  <c r="I36" i="8"/>
  <c r="I37" i="8"/>
  <c r="I38" i="8"/>
  <c r="I39" i="8"/>
  <c r="I40" i="8"/>
  <c r="I41" i="8"/>
  <c r="I42" i="8"/>
  <c r="I43" i="8"/>
  <c r="I44" i="8"/>
  <c r="I45" i="8"/>
  <c r="I46" i="8"/>
  <c r="I13" i="8"/>
  <c r="I14" i="8"/>
  <c r="I15" i="8"/>
  <c r="I16" i="8"/>
  <c r="I17" i="8"/>
  <c r="I18" i="8"/>
  <c r="I19" i="8"/>
  <c r="I20" i="8"/>
  <c r="I21" i="8"/>
  <c r="I22" i="8"/>
  <c r="I23" i="8"/>
  <c r="I24" i="8"/>
  <c r="I25" i="8"/>
  <c r="I26" i="8"/>
  <c r="I27" i="8"/>
  <c r="I28" i="8"/>
  <c r="I29" i="8"/>
  <c r="I30" i="8"/>
  <c r="I31" i="8"/>
  <c r="I32" i="8"/>
  <c r="I33" i="8"/>
  <c r="I12" i="8"/>
  <c r="I11" i="8"/>
  <c r="J83" i="5"/>
  <c r="F66" i="1"/>
  <c r="N12" i="10"/>
  <c r="M12" i="10"/>
  <c r="K12" i="10"/>
  <c r="I12" i="10"/>
  <c r="G12" i="10"/>
  <c r="F98" i="1"/>
  <c r="F86" i="1"/>
  <c r="F64" i="1"/>
  <c r="F55" i="1"/>
  <c r="F21" i="1"/>
  <c r="F13" i="1"/>
  <c r="F14" i="1"/>
  <c r="F15" i="1"/>
  <c r="F17" i="1"/>
  <c r="X38" i="11"/>
  <c r="F38" i="11"/>
  <c r="J69" i="17"/>
  <c r="I69" i="17"/>
  <c r="J68" i="17"/>
  <c r="I68" i="17"/>
  <c r="J67" i="17"/>
  <c r="I67" i="17"/>
  <c r="J66" i="17"/>
  <c r="I66" i="17"/>
  <c r="J65" i="17"/>
  <c r="I65" i="17"/>
  <c r="I22" i="17"/>
  <c r="I21" i="17"/>
  <c r="I20" i="17"/>
  <c r="G69" i="16"/>
  <c r="F69" i="16"/>
  <c r="G68" i="16"/>
  <c r="F68" i="16"/>
  <c r="G67" i="16"/>
  <c r="F67" i="16"/>
  <c r="G66" i="16"/>
  <c r="F66" i="16"/>
  <c r="G58" i="16"/>
  <c r="F58" i="16"/>
  <c r="G57" i="16"/>
  <c r="F57" i="16"/>
  <c r="G56" i="16"/>
  <c r="F56" i="16"/>
  <c r="G55" i="16"/>
  <c r="F55" i="16"/>
  <c r="G54" i="16"/>
  <c r="F54" i="16"/>
  <c r="F48" i="15"/>
  <c r="E48" i="15"/>
  <c r="F47" i="15"/>
  <c r="E47" i="15"/>
  <c r="G46" i="15"/>
  <c r="F46" i="15"/>
  <c r="E46" i="15"/>
  <c r="F45" i="15"/>
  <c r="E45" i="15"/>
  <c r="F44" i="15"/>
  <c r="E44" i="15"/>
  <c r="F43" i="15"/>
  <c r="E43" i="15"/>
  <c r="L136" i="14"/>
  <c r="L135" i="14"/>
  <c r="M135" i="14" s="1"/>
  <c r="L133" i="14"/>
  <c r="L132" i="14"/>
  <c r="M132" i="14" s="1"/>
  <c r="L130" i="14"/>
  <c r="L129" i="14"/>
  <c r="M129" i="14" s="1"/>
  <c r="L127" i="14"/>
  <c r="M126" i="14"/>
  <c r="L126" i="14"/>
  <c r="L124" i="14"/>
  <c r="M124" i="14" s="1"/>
  <c r="M123" i="14"/>
  <c r="L123" i="14"/>
  <c r="L121" i="14"/>
  <c r="M121" i="14" s="1"/>
  <c r="L120" i="14"/>
  <c r="M120" i="14" s="1"/>
  <c r="L118" i="14"/>
  <c r="M118" i="14" s="1"/>
  <c r="L117" i="14"/>
  <c r="M117" i="14" s="1"/>
  <c r="L115" i="14"/>
  <c r="M115" i="14" s="1"/>
  <c r="L114" i="14"/>
  <c r="M114" i="14" s="1"/>
  <c r="L111" i="14"/>
  <c r="M111" i="14" s="1"/>
  <c r="C110" i="14"/>
  <c r="D110" i="14" s="1"/>
  <c r="C108" i="14"/>
  <c r="D108" i="14" s="1"/>
  <c r="C107" i="14"/>
  <c r="D107" i="14" s="1"/>
  <c r="C105" i="14"/>
  <c r="D105" i="14" s="1"/>
  <c r="D104" i="14"/>
  <c r="C104" i="14"/>
  <c r="C102" i="14"/>
  <c r="D102" i="14" s="1"/>
  <c r="C101" i="14"/>
  <c r="D101" i="14" s="1"/>
  <c r="C93" i="14"/>
  <c r="D93" i="14" s="1"/>
  <c r="C91" i="14"/>
  <c r="D91" i="14" s="1"/>
  <c r="C90" i="14"/>
  <c r="D90" i="14" s="1"/>
  <c r="D88" i="14"/>
  <c r="C88" i="14"/>
  <c r="C87" i="14"/>
  <c r="D87" i="14" s="1"/>
  <c r="D85" i="14"/>
  <c r="C85" i="14"/>
  <c r="C84" i="14"/>
  <c r="D84" i="14" s="1"/>
  <c r="H32" i="14"/>
  <c r="G32" i="14"/>
  <c r="H31" i="14"/>
  <c r="G31" i="14"/>
  <c r="H30" i="14"/>
  <c r="G30" i="14"/>
  <c r="H29" i="14"/>
  <c r="G29" i="14"/>
  <c r="H28" i="14"/>
  <c r="G28" i="14"/>
  <c r="H27" i="14"/>
  <c r="G27" i="14"/>
  <c r="G79" i="13"/>
  <c r="G58" i="13"/>
  <c r="G57" i="13"/>
  <c r="G56" i="13"/>
  <c r="G55" i="13"/>
  <c r="G54" i="13"/>
  <c r="G33" i="13"/>
  <c r="G32" i="13"/>
  <c r="G31" i="13"/>
  <c r="G30" i="13"/>
  <c r="F49" i="12"/>
  <c r="F48" i="12"/>
  <c r="F47" i="12"/>
  <c r="F46" i="12"/>
  <c r="E254" i="11"/>
  <c r="D254" i="11"/>
  <c r="C254" i="11"/>
  <c r="E253" i="11"/>
  <c r="D253" i="11"/>
  <c r="C253" i="11"/>
  <c r="E252" i="11"/>
  <c r="D252" i="11"/>
  <c r="C252" i="11"/>
  <c r="D251" i="11"/>
  <c r="E250" i="11"/>
  <c r="E249" i="11"/>
  <c r="C249" i="11"/>
  <c r="E248" i="11"/>
  <c r="D248" i="11"/>
  <c r="C248" i="11"/>
  <c r="E247" i="11"/>
  <c r="E251" i="11"/>
  <c r="M134" i="11"/>
  <c r="C251" i="11"/>
  <c r="C250" i="11"/>
  <c r="F15" i="11"/>
  <c r="C247" i="11" s="1"/>
  <c r="F66" i="10"/>
  <c r="F65" i="10"/>
  <c r="F64" i="10"/>
  <c r="F63" i="10"/>
  <c r="L53" i="10"/>
  <c r="J53" i="10"/>
  <c r="H53" i="10"/>
  <c r="F53" i="10"/>
  <c r="G180" i="9"/>
  <c r="F180" i="9"/>
  <c r="E180" i="9"/>
  <c r="K179" i="9"/>
  <c r="G179" i="9"/>
  <c r="L179" i="9" s="1"/>
  <c r="F179" i="9"/>
  <c r="G178" i="9"/>
  <c r="F178" i="9"/>
  <c r="E178" i="9"/>
  <c r="G177" i="9"/>
  <c r="F177" i="9"/>
  <c r="E177" i="9"/>
  <c r="G176" i="9"/>
  <c r="F176" i="9"/>
  <c r="E176" i="9"/>
  <c r="G175" i="9"/>
  <c r="F175" i="9"/>
  <c r="E175" i="9"/>
  <c r="G174" i="9"/>
  <c r="F174" i="9"/>
  <c r="E174" i="9"/>
  <c r="G173" i="9"/>
  <c r="G172" i="9"/>
  <c r="F172" i="9"/>
  <c r="E172" i="9"/>
  <c r="G171" i="9"/>
  <c r="F171" i="9"/>
  <c r="E171" i="9"/>
  <c r="G170" i="9"/>
  <c r="F170" i="9"/>
  <c r="F169" i="9"/>
  <c r="E169" i="9"/>
  <c r="G168" i="9"/>
  <c r="G71" i="9"/>
  <c r="G16" i="9"/>
  <c r="H60" i="8"/>
  <c r="G60" i="8"/>
  <c r="F60" i="8"/>
  <c r="H59" i="8"/>
  <c r="F59" i="8"/>
  <c r="H58" i="8"/>
  <c r="H57" i="8"/>
  <c r="G57" i="8"/>
  <c r="F57" i="8"/>
  <c r="H56" i="8"/>
  <c r="G59" i="8"/>
  <c r="G58" i="8"/>
  <c r="F58" i="8"/>
  <c r="K57" i="7"/>
  <c r="J57" i="7"/>
  <c r="I57" i="7"/>
  <c r="K56" i="7"/>
  <c r="J56" i="7"/>
  <c r="I56" i="7"/>
  <c r="K55" i="7"/>
  <c r="J55" i="7"/>
  <c r="I55" i="7"/>
  <c r="K54" i="7"/>
  <c r="J54" i="7"/>
  <c r="I54" i="7"/>
  <c r="K53" i="7"/>
  <c r="J53" i="7"/>
  <c r="I53" i="7"/>
  <c r="K52" i="7"/>
  <c r="J52" i="7"/>
  <c r="I52" i="7"/>
  <c r="K51" i="7"/>
  <c r="J51" i="7"/>
  <c r="I51" i="7"/>
  <c r="L51" i="7" s="1"/>
  <c r="K50" i="7"/>
  <c r="L50" i="7" s="1"/>
  <c r="J50" i="7"/>
  <c r="I50" i="7"/>
  <c r="K49" i="7"/>
  <c r="J49" i="7"/>
  <c r="I49" i="7"/>
  <c r="K48" i="7"/>
  <c r="J48" i="7"/>
  <c r="I48" i="7"/>
  <c r="K42" i="7"/>
  <c r="M127" i="6"/>
  <c r="L127" i="6"/>
  <c r="K127" i="6"/>
  <c r="M126" i="6"/>
  <c r="L126" i="6"/>
  <c r="K126" i="6"/>
  <c r="M125" i="6"/>
  <c r="L125" i="6"/>
  <c r="K125" i="6"/>
  <c r="M124" i="6"/>
  <c r="K124" i="6"/>
  <c r="M123" i="6"/>
  <c r="L123" i="6"/>
  <c r="K123" i="6"/>
  <c r="M122" i="6"/>
  <c r="L122" i="6"/>
  <c r="K122" i="6"/>
  <c r="N115" i="6"/>
  <c r="N114" i="6"/>
  <c r="N112" i="6"/>
  <c r="N111" i="6"/>
  <c r="N109" i="6"/>
  <c r="N108" i="6"/>
  <c r="N105" i="6"/>
  <c r="N104" i="6"/>
  <c r="N102" i="6"/>
  <c r="N101" i="6"/>
  <c r="N99" i="6"/>
  <c r="N98" i="6"/>
  <c r="N96" i="6"/>
  <c r="N95" i="6"/>
  <c r="N88" i="6"/>
  <c r="O88" i="6" s="1"/>
  <c r="N87" i="6"/>
  <c r="O87" i="6" s="1"/>
  <c r="N85" i="6"/>
  <c r="N84" i="6"/>
  <c r="N82" i="6"/>
  <c r="N81" i="6"/>
  <c r="O81" i="6" s="1"/>
  <c r="N79" i="6"/>
  <c r="N78" i="6"/>
  <c r="N69" i="6"/>
  <c r="G69" i="6"/>
  <c r="N68" i="6"/>
  <c r="O85" i="6" s="1"/>
  <c r="G68" i="6"/>
  <c r="L124" i="6"/>
  <c r="J134" i="5"/>
  <c r="I134" i="5"/>
  <c r="H134" i="5"/>
  <c r="J133" i="5"/>
  <c r="I133" i="5"/>
  <c r="H133" i="5"/>
  <c r="J132" i="5"/>
  <c r="I132" i="5"/>
  <c r="H132" i="5"/>
  <c r="J131" i="5"/>
  <c r="I131" i="5"/>
  <c r="H131" i="5"/>
  <c r="J130" i="5"/>
  <c r="I130" i="5"/>
  <c r="H130" i="5"/>
  <c r="J129" i="5"/>
  <c r="I129" i="5"/>
  <c r="H129" i="5"/>
  <c r="J128" i="5"/>
  <c r="I128" i="5"/>
  <c r="H128" i="5"/>
  <c r="J127" i="5"/>
  <c r="I127" i="5"/>
  <c r="H127" i="5"/>
  <c r="J126" i="5"/>
  <c r="I126" i="5"/>
  <c r="H126" i="5"/>
  <c r="J125" i="5"/>
  <c r="I125" i="5"/>
  <c r="H125" i="5"/>
  <c r="I119" i="5"/>
  <c r="I118" i="5"/>
  <c r="I117" i="5"/>
  <c r="I116" i="5"/>
  <c r="I115" i="5"/>
  <c r="I114" i="5"/>
  <c r="I113" i="5"/>
  <c r="I112" i="5"/>
  <c r="J112" i="5" s="1"/>
  <c r="I111" i="5"/>
  <c r="I110" i="5"/>
  <c r="A65" i="4"/>
  <c r="A55" i="4"/>
  <c r="A30" i="4"/>
  <c r="F100" i="1"/>
  <c r="F94" i="1"/>
  <c r="F92" i="1"/>
  <c r="F88" i="1"/>
  <c r="F82" i="1"/>
  <c r="F79" i="1"/>
  <c r="F77" i="1"/>
  <c r="F75" i="1"/>
  <c r="F71" i="1"/>
  <c r="F68" i="1"/>
  <c r="F60" i="1"/>
  <c r="F57" i="1"/>
  <c r="F53" i="1"/>
  <c r="F49" i="1"/>
  <c r="F46" i="1"/>
  <c r="F43" i="1"/>
  <c r="F41" i="1"/>
  <c r="F37" i="1"/>
  <c r="F35" i="1"/>
  <c r="F33" i="1"/>
  <c r="F29" i="1"/>
  <c r="F27" i="1"/>
  <c r="F25" i="1"/>
  <c r="F19" i="1"/>
  <c r="H57" i="16" l="1"/>
  <c r="G160" i="9"/>
  <c r="L175" i="9"/>
  <c r="H171" i="9"/>
  <c r="H54" i="16"/>
  <c r="H58" i="16"/>
  <c r="H67" i="16"/>
  <c r="H68" i="16"/>
  <c r="H69" i="16"/>
  <c r="F71" i="16"/>
  <c r="G47" i="15"/>
  <c r="G44" i="15"/>
  <c r="G45" i="15"/>
  <c r="F50" i="12"/>
  <c r="G68" i="10"/>
  <c r="F73" i="10" s="1"/>
  <c r="F75" i="10" s="1"/>
  <c r="L173" i="9"/>
  <c r="H175" i="9"/>
  <c r="H178" i="9"/>
  <c r="H176" i="9"/>
  <c r="H177" i="9"/>
  <c r="O102" i="6"/>
  <c r="L57" i="7"/>
  <c r="L54" i="7"/>
  <c r="N127" i="6"/>
  <c r="O95" i="6"/>
  <c r="O101" i="6"/>
  <c r="H61" i="8"/>
  <c r="O78" i="6"/>
  <c r="O104" i="6"/>
  <c r="J111" i="5"/>
  <c r="M128" i="6"/>
  <c r="E173" i="9"/>
  <c r="J173" i="9" s="1"/>
  <c r="M53" i="10"/>
  <c r="N53" i="10"/>
  <c r="G71" i="16"/>
  <c r="O109" i="6"/>
  <c r="G53" i="10"/>
  <c r="J117" i="5"/>
  <c r="O96" i="6"/>
  <c r="L55" i="7"/>
  <c r="F56" i="8"/>
  <c r="F61" i="8" s="1"/>
  <c r="I53" i="10"/>
  <c r="H55" i="16"/>
  <c r="J113" i="5"/>
  <c r="O79" i="6"/>
  <c r="O98" i="6"/>
  <c r="O112" i="6"/>
  <c r="N125" i="6"/>
  <c r="L48" i="7"/>
  <c r="I59" i="8"/>
  <c r="K175" i="9"/>
  <c r="K53" i="10"/>
  <c r="H56" i="16"/>
  <c r="J114" i="5"/>
  <c r="O114" i="6"/>
  <c r="J58" i="7"/>
  <c r="L52" i="7"/>
  <c r="I60" i="8"/>
  <c r="E168" i="9"/>
  <c r="F173" i="9"/>
  <c r="K173" i="9" s="1"/>
  <c r="H172" i="9"/>
  <c r="J175" i="9"/>
  <c r="O99" i="6"/>
  <c r="O115" i="6"/>
  <c r="L56" i="7"/>
  <c r="G56" i="8"/>
  <c r="G61" i="8" s="1"/>
  <c r="J116" i="5"/>
  <c r="O82" i="6"/>
  <c r="N122" i="6"/>
  <c r="N126" i="6"/>
  <c r="M136" i="14"/>
  <c r="G63" i="10"/>
  <c r="J118" i="5"/>
  <c r="O84" i="6"/>
  <c r="K58" i="7"/>
  <c r="L53" i="7"/>
  <c r="I57" i="8"/>
  <c r="E170" i="9"/>
  <c r="J170" i="9" s="1"/>
  <c r="E179" i="9"/>
  <c r="J179" i="9" s="1"/>
  <c r="I179" i="9" s="1"/>
  <c r="F168" i="9"/>
  <c r="K168" i="9" s="1"/>
  <c r="G169" i="9"/>
  <c r="L168" i="9" s="1"/>
  <c r="G64" i="10"/>
  <c r="G43" i="15"/>
  <c r="G48" i="15"/>
  <c r="J119" i="5"/>
  <c r="N123" i="6"/>
  <c r="K170" i="9"/>
  <c r="H174" i="9"/>
  <c r="H180" i="9"/>
  <c r="G65" i="10"/>
  <c r="O105" i="6"/>
  <c r="L170" i="9"/>
  <c r="G66" i="10"/>
  <c r="D249" i="11"/>
  <c r="F249" i="11" s="1"/>
  <c r="M135" i="11"/>
  <c r="M133" i="11"/>
  <c r="F252" i="11"/>
  <c r="D247" i="11"/>
  <c r="F251" i="11"/>
  <c r="F248" i="11"/>
  <c r="F254" i="11"/>
  <c r="E255" i="11"/>
  <c r="F253" i="11"/>
  <c r="L128" i="6"/>
  <c r="M133" i="14"/>
  <c r="N124" i="6"/>
  <c r="M130" i="14"/>
  <c r="I58" i="8"/>
  <c r="C255" i="11"/>
  <c r="M127" i="14"/>
  <c r="J115" i="5"/>
  <c r="O108" i="6"/>
  <c r="I48" i="8"/>
  <c r="K128" i="6"/>
  <c r="L49" i="7"/>
  <c r="I58" i="7"/>
  <c r="J110" i="5"/>
  <c r="O111" i="6"/>
  <c r="H66" i="16"/>
  <c r="K181" i="9" l="1"/>
  <c r="L181" i="9"/>
  <c r="H61" i="16"/>
  <c r="H71" i="16"/>
  <c r="G50" i="15"/>
  <c r="F74" i="10"/>
  <c r="F76" i="10" s="1"/>
  <c r="G181" i="9"/>
  <c r="H169" i="9"/>
  <c r="H173" i="9"/>
  <c r="H168" i="9"/>
  <c r="I170" i="9"/>
  <c r="I175" i="9"/>
  <c r="J168" i="9"/>
  <c r="J181" i="9" s="1"/>
  <c r="H179" i="9"/>
  <c r="H170" i="9"/>
  <c r="E181" i="9"/>
  <c r="F181" i="9"/>
  <c r="I56" i="8"/>
  <c r="I61" i="8" s="1"/>
  <c r="I173" i="9"/>
  <c r="F247" i="11"/>
  <c r="I168" i="9"/>
  <c r="D250" i="11"/>
  <c r="F250" i="11" s="1"/>
  <c r="F255" i="11" l="1"/>
  <c r="H181" i="9"/>
  <c r="I181" i="9"/>
  <c r="D255" i="11"/>
  <c r="F23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9" authorId="0" shapeId="0" xr:uid="{00000000-0006-0000-0200-000004000000}">
      <text>
        <r>
          <rPr>
            <sz val="12"/>
            <color theme="1"/>
            <rFont val="Calibri"/>
            <family val="2"/>
            <scheme val="minor"/>
          </rPr>
          <t>======
ID#AAABi1_pD7Y
charles jaeger    (2025-05-05 10:03:01)
EN €
sur un devis CNC, vous pouvez prendre en compte la ligne suivante :
91 ASSURANCES ET DIVERS</t>
        </r>
      </text>
    </comment>
    <comment ref="B20" authorId="0" shapeId="0" xr:uid="{00000000-0006-0000-0200-000009000000}">
      <text>
        <r>
          <rPr>
            <sz val="12"/>
            <color theme="1"/>
            <rFont val="Calibri"/>
            <family val="2"/>
            <scheme val="minor"/>
          </rPr>
          <t>======
ID#AAABi1_pD6k
charles jaeger    (2025-05-05 10:03:01)
EN EUROS 
sur un devis CNC, vous pouvez prendre en compte la ligne suivante :
92 PUBLICITÉ, PROMOTION ET DIVERS
93 FRAIS JURIDIQUES, FRAIS DIVERS ET CERTIFICATIONS DES COMPTES
94 FRAIS FINANCIERS</t>
        </r>
      </text>
    </comment>
    <comment ref="B24" authorId="0" shapeId="0" xr:uid="{00000000-0006-0000-0200-000002000000}">
      <text>
        <r>
          <rPr>
            <sz val="12"/>
            <color theme="1"/>
            <rFont val="Calibri"/>
            <family val="2"/>
            <scheme val="minor"/>
          </rPr>
          <t>======
ID#AAABi1_pD7k
devis CNC, cela correspond aux lignes     (2025-05-05 10:03:01)
5312
5313
5314
5411
5421
5431
5441</t>
        </r>
      </text>
    </comment>
    <comment ref="E24" authorId="0" shapeId="0" xr:uid="{00000000-0006-0000-0200-00000B000000}">
      <text>
        <r>
          <rPr>
            <sz val="12"/>
            <color theme="1"/>
            <rFont val="Calibri"/>
            <family val="2"/>
            <scheme val="minor"/>
          </rPr>
          <t>======
ID#AAABi1_pD6c
charles jaeger    (2025-05-05 10:03:01)
achats de seconde main effectués pour les aménagements de décors.</t>
        </r>
      </text>
    </comment>
    <comment ref="B26" authorId="0" shapeId="0" xr:uid="{00000000-0006-0000-0200-000003000000}">
      <text>
        <r>
          <rPr>
            <sz val="12"/>
            <color theme="1"/>
            <rFont val="Calibri"/>
            <family val="2"/>
            <scheme val="minor"/>
          </rPr>
          <t>======
ID#AAABi1_pD7g
devis CNC, cela correspond aux lignes     (2025-05-05 10:03:01)
5131
5134
5311</t>
        </r>
      </text>
    </comment>
    <comment ref="E26" authorId="0" shapeId="0" xr:uid="{00000000-0006-0000-0200-000007000000}">
      <text>
        <r>
          <rPr>
            <sz val="12"/>
            <color theme="1"/>
            <rFont val="Calibri"/>
            <family val="2"/>
            <scheme val="minor"/>
          </rPr>
          <t>======
ID#AAABi1_pD7E
devis CNC, cela correspond aux lignes     (2025-05-05 10:03:01)
5132
5133
532
5412
5422
5432</t>
        </r>
      </text>
    </comment>
    <comment ref="B28" authorId="0" shapeId="0" xr:uid="{00000000-0006-0000-0200-000005000000}">
      <text>
        <r>
          <rPr>
            <sz val="12"/>
            <color theme="1"/>
            <rFont val="Calibri"/>
            <family val="2"/>
            <scheme val="minor"/>
          </rPr>
          <t>======
ID#AAABi1_pD7I
charles jaeger    (2025-05-05 10:03:01)
frais de prestation hors salaires, pour les effets spéciaux de type effets climatiques, pyrotechnique, animatronique ainsi que les cascades.
Si vous suivez le devis CNC, indiques les lignes 571, 572, 573, 574 (hors 5741).</t>
        </r>
      </text>
    </comment>
    <comment ref="B32" authorId="0" shapeId="0" xr:uid="{00000000-0006-0000-0200-00000D000000}">
      <text>
        <r>
          <rPr>
            <sz val="12"/>
            <color theme="1"/>
            <rFont val="Calibri"/>
            <family val="2"/>
            <scheme val="minor"/>
          </rPr>
          <t>======
ID#AAABi1_pD6Q
devis CNC, cela correspond aux lignes     (2025-05-05 10:03:01)
5811 ACHATS COSTUMES</t>
        </r>
      </text>
    </comment>
    <comment ref="E32" authorId="0" shapeId="0" xr:uid="{00000000-0006-0000-0200-00000A000000}">
      <text>
        <r>
          <rPr>
            <sz val="12"/>
            <color theme="1"/>
            <rFont val="Calibri"/>
            <family val="2"/>
            <scheme val="minor"/>
          </rPr>
          <t>======
ID#AAABi1_pD6g
charles jaeger    (2025-05-05 10:03:01)
achats de seconde main effectués pour les costumes et habillage</t>
        </r>
      </text>
    </comment>
    <comment ref="B34" authorId="0" shapeId="0" xr:uid="{00000000-0006-0000-0200-000001000000}">
      <text>
        <r>
          <rPr>
            <sz val="12"/>
            <color theme="1"/>
            <rFont val="Calibri"/>
            <family val="2"/>
            <scheme val="minor"/>
          </rPr>
          <t>======
ID#AAABi1_pD7o
devis CNC, cela correspond aux lignes     (2025-05-05 10:03:01)
583
584</t>
        </r>
      </text>
    </comment>
    <comment ref="E34" authorId="0" shapeId="0" xr:uid="{00000000-0006-0000-0200-000006000000}">
      <text>
        <r>
          <rPr>
            <sz val="12"/>
            <color theme="1"/>
            <rFont val="Calibri"/>
            <family val="2"/>
            <scheme val="minor"/>
          </rPr>
          <t>======
ID#AAABi1_pD7M
devis CNC, cela correspond à la ligne     (2025-05-05 10:03:01)
582</t>
        </r>
      </text>
    </comment>
    <comment ref="B36" authorId="0" shapeId="0" xr:uid="{00000000-0006-0000-0200-000008000000}">
      <text>
        <r>
          <rPr>
            <sz val="12"/>
            <color theme="1"/>
            <rFont val="Calibri"/>
            <family val="2"/>
            <scheme val="minor"/>
          </rPr>
          <t>======
ID#AAABi1_pD6w
charles jaeger    (2025-05-05 10:03:01)
frais de maquillage, hors salaires
Si vous suivez le devis CNC, indiquez les lignes :
591 (hormis 5913)
5931
5933 (le cas échéant)</t>
        </r>
      </text>
    </comment>
    <comment ref="E36" authorId="0" shapeId="0" xr:uid="{00000000-0006-0000-0200-00000C000000}">
      <text>
        <r>
          <rPr>
            <sz val="12"/>
            <color theme="1"/>
            <rFont val="Calibri"/>
            <family val="2"/>
            <scheme val="minor"/>
          </rPr>
          <t>======
ID#AAABi1_pD6U
charles jaeger    (2025-05-05 10:03:01)
frais de coiffure, hors salaires.
Si vous suivez le devis CNC, indiquez les lignes :
592 (hormis 5923)
5932
5933 (le cas échéant)</t>
        </r>
      </text>
    </comment>
    <comment ref="B40" authorId="0" shapeId="0" xr:uid="{00000000-0006-0000-0200-00000E000000}">
      <text>
        <r>
          <rPr>
            <sz val="12"/>
            <color theme="1"/>
            <rFont val="Calibri"/>
            <family val="2"/>
            <scheme val="minor"/>
          </rPr>
          <t>======
ID#AAABi1_pD6I
Indiquez le montant des achats de supports d'image et se son, utilisés pendant le tournage pour la sauvegarde des rushs ou les navettes avec la post-production     (2025-05-05 10:03:01)
- disques durs mobiles
	- tour de disques RAID
	- CD-rom / DVD
	- pellicules de film argentique
	- bandes magnétiques et cassettes</t>
        </r>
      </text>
    </comment>
  </commentList>
  <extLst>
    <ext xmlns:r="http://schemas.openxmlformats.org/officeDocument/2006/relationships" uri="GoogleSheetsCustomDataVersion2">
      <go:sheetsCustomData xmlns:go="http://customooxmlschemas.google.com/" r:id="rId1" roundtripDataSignature="AMtx7mhccFNkHDKlQ638o7SswUykJAON/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300-000006000000}">
      <text>
        <r>
          <rPr>
            <sz val="12"/>
            <color theme="1"/>
            <rFont val="Calibri"/>
            <family val="2"/>
            <scheme val="minor"/>
          </rPr>
          <t>======
ID#AAABi1_pD6M
charles jaeger    (2025-05-05 10:03:01)
nombre de jours travaillés multiplié par le nombre de salariés ayant occupé ces bureaux. Le nombre de jour.humain caractérise l'activité des personnes en équivalent temps plein (ETP).
Exemple : 2 personnes ont travaillé 10 jours en présence = 20 jours.humain</t>
        </r>
      </text>
    </comment>
    <comment ref="G9" authorId="0" shapeId="0" xr:uid="{00000000-0006-0000-0300-000004000000}">
      <text>
        <r>
          <rPr>
            <sz val="12"/>
            <color theme="1"/>
            <rFont val="Calibri"/>
            <family val="2"/>
            <scheme val="minor"/>
          </rPr>
          <t>======
ID#AAABi1_pD68
charles jaeger    (2025-05-05 10:03:01)
nombre de jours télé-travaillés multiplié par le nombre de personnes. Le nombre de jour.humain caractérise l'activité des personnes en équivalent temps plein (ETP).
Exemple : 2 personnes ont télé-travaillé 10 jours = 20 jours.humain</t>
        </r>
      </text>
    </comment>
    <comment ref="H9" authorId="0" shapeId="0" xr:uid="{00000000-0006-0000-0300-000003000000}">
      <text>
        <r>
          <rPr>
            <sz val="12"/>
            <color theme="1"/>
            <rFont val="Calibri"/>
            <family val="2"/>
            <scheme val="minor"/>
          </rPr>
          <t>======
ID#AAABi1_pD7A
charles jaeger    (2025-05-05 10:03:01)
période pendant laquelle ce lieu a été occupé en "nombre de jours". Cette information permet de proposer des statistiques de consommation typique des bureaux et attribuer une durée d'immobilisation du lieu.
Ne tenez pas compte ici des activités en télétravail.</t>
        </r>
      </text>
    </comment>
    <comment ref="S9" authorId="0" shapeId="0" xr:uid="{00000000-0006-0000-0300-000005000000}">
      <text>
        <r>
          <rPr>
            <sz val="12"/>
            <color theme="1"/>
            <rFont val="Calibri"/>
            <family val="2"/>
            <scheme val="minor"/>
          </rPr>
          <t>======
ID#AAABi1_pD60
Maud Charquet    (2025-05-05 10:03:01)
En bas de page, schéma des différents compteurs et indication des mesures à relever</t>
        </r>
      </text>
    </comment>
    <comment ref="J10" authorId="0" shapeId="0" xr:uid="{00000000-0006-0000-0300-000001000000}">
      <text>
        <r>
          <rPr>
            <sz val="12"/>
            <color theme="1"/>
            <rFont val="Calibri"/>
            <family val="2"/>
            <scheme val="minor"/>
          </rPr>
          <t>======
ID#AAABi1_pD7c
charles jaeger    (2025-05-05 10:03:01)
surface approximative du plateau de tournage</t>
        </r>
      </text>
    </comment>
    <comment ref="K10" authorId="0" shapeId="0" xr:uid="{00000000-0006-0000-0300-000002000000}">
      <text>
        <r>
          <rPr>
            <sz val="12"/>
            <color theme="1"/>
            <rFont val="Calibri"/>
            <family val="2"/>
            <scheme val="minor"/>
          </rPr>
          <t>======
ID#AAABi1_pD7Q
charles jaeger    (2025-05-05 10:03:01)
surface occupée pour les annexes fixes (loges, HMC, ...)
ou les bureaux de production
pu ateliers et lieux de stockage costumes et déco</t>
        </r>
      </text>
    </comment>
  </commentList>
  <extLst>
    <ext xmlns:r="http://schemas.openxmlformats.org/officeDocument/2006/relationships" uri="GoogleSheetsCustomDataVersion2">
      <go:sheetsCustomData xmlns:go="http://customooxmlschemas.google.com/" r:id="rId1" roundtripDataSignature="AMtx7miQTmXBtB/lApBMOVCXS5t/1dP/u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12" authorId="0" shapeId="0" xr:uid="{00000000-0006-0000-0B00-000002000000}">
      <text>
        <r>
          <rPr>
            <sz val="12"/>
            <color theme="1"/>
            <rFont val="Calibri"/>
            <family val="2"/>
            <scheme val="minor"/>
          </rPr>
          <t>======
ID#AAABi1_pD7U
Les tailles de gabarits correspondent aux types de productions suivantes     (2025-05-05 10:03:01)
Petit : clip vidéo, documentaire petit budget, reportage, film institutionnel ou court métrage.
Moyen : fiction petit budget, téléfilm, documentaire gros budget ou publicité de grande consommation.
Grand : fiction gros budget ou publicité luxe.
Pour les productions de type "captation de direct" veuillez sélectionner l'option "grand dispositif".</t>
        </r>
      </text>
    </comment>
    <comment ref="F12" authorId="0" shapeId="0" xr:uid="{00000000-0006-0000-0B00-000001000000}">
      <text>
        <r>
          <rPr>
            <sz val="12"/>
            <color theme="1"/>
            <rFont val="Calibri"/>
            <family val="2"/>
            <scheme val="minor"/>
          </rPr>
          <t>======
ID#AAABi1_pD7s
charles jaeger    (2025-05-05 10:03:01)
Indiquez la durée d'utilisation du matériel. Si le matériel est loué, renseignez la durée du début de location au retour chez le loueur.
Dans le cas où des dispositifs spéciaux sont loués quelques jours seulement (exemple : gros moyens techniques ponctuels), vous pouvez déclarer plusieurs sections répétables "Prise de vue, machinerie, éclairage et son" et spécifier les jours pendants lesquels des dispositifs de tailles variées ont été utilisé. Vous pouvez ainsi adapter l'envergure des moyens techniques déclarés dans Carbon'Clap à la réalité de votre tournage.
Le calcul de l'impact tient compte de l'immobilisation de l'ensemble des équipements utilisés par jour. </t>
        </r>
      </text>
    </comment>
  </commentList>
  <extLst>
    <ext xmlns:r="http://schemas.openxmlformats.org/officeDocument/2006/relationships" uri="GoogleSheetsCustomDataVersion2">
      <go:sheetsCustomData xmlns:go="http://customooxmlschemas.google.com/" r:id="rId1" roundtripDataSignature="AMtx7mhj8KFPoEP2T9mdTGNCmrLx/L+G5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41" authorId="0" shapeId="0" xr:uid="{00000000-0006-0000-1000-000001000000}">
      <text>
        <r>
          <rPr>
            <sz val="12"/>
            <color theme="1"/>
            <rFont val="Calibri"/>
            <family val="2"/>
            <scheme val="minor"/>
          </rPr>
          <t>======
ID#AAABi1_pD64
Maud Charquet    (2025-05-05 10:03:01)
Pour vous aider à remplir la taille du dispositif technique, vous pouvez vous aider du listing situé à droite de ce tableau.</t>
        </r>
      </text>
    </comment>
    <comment ref="H41" authorId="0" shapeId="0" xr:uid="{00000000-0006-0000-1000-000004000000}">
      <text>
        <r>
          <rPr>
            <sz val="12"/>
            <color theme="1"/>
            <rFont val="Calibri"/>
            <family val="2"/>
            <scheme val="minor"/>
          </rPr>
          <t>======
ID#AAABi1_pD6Y
charles jaeger    (2025-05-05 10:03:01)
L'activité des opération permet de comptabiliser les dispositifs et les activités des techniciens qui travaillent à la post-production.
Il s'agit d'indiquer les personnes qui exploitent les équipements et les lieux (monteur.euse, graphiste, mixeur.euse, étalonneur, etc.) afin de comptabiliser les studios, les machines, l'énergie, les déplacements quotidiens et l'alimentation en équivalent temps plein ("jour.humain") sur la base de modélisations sectorielles.
ⓘ Lorsque vous indiquez une activité dans cette case, il n'est pas nécessaire de spécifier les déplacements domicile-travail et les repas de ces personnes ailleurs dans Carbon'Clap. Les voyages d'affaire spéciaux sont quant à eux à renseigner dans l'onglet DÉPLACEMENTS. </t>
        </r>
      </text>
    </comment>
    <comment ref="I41" authorId="0" shapeId="0" xr:uid="{00000000-0006-0000-1000-000003000000}">
      <text>
        <r>
          <rPr>
            <sz val="12"/>
            <color theme="1"/>
            <rFont val="Calibri"/>
            <family val="2"/>
            <scheme val="minor"/>
          </rPr>
          <t>======
ID#AAABi1_pD6o
charles jaeger    (2025-05-05 10:03:01)
L'activité des intervenants permet de comptabiliser la présence de personnes supplémentaires qui participent à la post-production de manière ponctuelle.
Il s'agit d'indiquer les intervenants qui n'exploitent pas directement les équipements (producteur.trice, réalisateur.trice, comédien.ne de doublage, musicien.ne, etc.) afin de comptabiliser uniquement leur déplacement et leur alimentation par équivalent temps plein ("jour.humain").
ⓘ Lorsque vous indiquez une activité dans cette case, il n'est pas nécessaire de spécifier les déplacements domicile-travail et les repas de ces personnes ailleurs dans Carbon'Clap. Les voyages d'affaire spéciaux sont quant à eux à renseigner dans l'onglet DÉPLACEMENTS.</t>
        </r>
      </text>
    </comment>
    <comment ref="J41" authorId="0" shapeId="0" xr:uid="{00000000-0006-0000-1000-000002000000}">
      <text>
        <r>
          <rPr>
            <sz val="12"/>
            <color theme="1"/>
            <rFont val="Calibri"/>
            <family val="2"/>
            <scheme val="minor"/>
          </rPr>
          <t>======
ID#AAABi1_pD6s
charles jaeger    (2025-05-05 10:03:01)
Le temps de rendus et calculs informatiques est utilisé pour tenir compte des activités des machines supplémentaires mobilisés pour des tâches informatiques, non opérées par des technicien·nes.
Par exemple, cela peut couvrir des rendus et calculs réalisés les week-end ou la nuit.
Le modèle tient compte des machines mobilisées (petit, moyen, ou grand dispositif), de l'énergie consommée, et de la climatisation utilisée dans les salles techniques.
🛈 Les modèles d'activité des équipes du projet (petit, moyen, grand) tiennent compte déjà des équipements utilisés durant le temps de travail (jour.humain) déclaré. Ici, il s'agit donc d'indiquer uniquement le temps qui serait supplémentaire à ces activités.
Exemple : une ferme de rendu VFX composée de 5 stations tourne un week-end entier de 2 jours ; renseigner : 10 jours.machine.</t>
        </r>
      </text>
    </comment>
  </commentList>
  <extLst>
    <ext xmlns:r="http://schemas.openxmlformats.org/officeDocument/2006/relationships" uri="GoogleSheetsCustomDataVersion2">
      <go:sheetsCustomData xmlns:go="http://customooxmlschemas.google.com/" r:id="rId1" roundtripDataSignature="AMtx7mhVx55x/IX0JrhtuLeGAuiVdn1i5A=="/>
    </ext>
  </extLst>
</comments>
</file>

<file path=xl/sharedStrings.xml><?xml version="1.0" encoding="utf-8"?>
<sst xmlns="http://schemas.openxmlformats.org/spreadsheetml/2006/main" count="1363" uniqueCount="808">
  <si>
    <r>
      <rPr>
        <b/>
        <sz val="20"/>
        <color theme="1"/>
        <rFont val="Calibri"/>
        <family val="2"/>
      </rPr>
      <t>É</t>
    </r>
    <r>
      <rPr>
        <b/>
        <sz val="20"/>
        <color theme="1"/>
        <rFont val="Calibri"/>
        <family val="2"/>
      </rPr>
      <t>TAT D'AVANCEMENT DU DOSSIER</t>
    </r>
  </si>
  <si>
    <t>Ne pas toucher à cette page !</t>
  </si>
  <si>
    <t xml:space="preserve">Elle ne constitue qu'un récapitulatif de l'état d'avancement de votre dossier. </t>
  </si>
  <si>
    <t>"A faire" indique qu'une partie des onglets reste incomplète - "ok" indique que toutes les infos ont été rentrées</t>
  </si>
  <si>
    <t>Critères &amp; Données</t>
  </si>
  <si>
    <t>Avancement</t>
  </si>
  <si>
    <r>
      <rPr>
        <b/>
        <u/>
        <sz val="14"/>
        <color theme="1"/>
        <rFont val="Calibri"/>
        <family val="2"/>
      </rPr>
      <t>DONN</t>
    </r>
    <r>
      <rPr>
        <b/>
        <u/>
        <sz val="14"/>
        <color theme="1"/>
        <rFont val="Calibri"/>
        <family val="2"/>
      </rPr>
      <t>É</t>
    </r>
    <r>
      <rPr>
        <b/>
        <u/>
        <sz val="14"/>
        <color theme="1"/>
        <rFont val="Calibri"/>
        <family val="2"/>
      </rPr>
      <t>ES FINANCI</t>
    </r>
    <r>
      <rPr>
        <b/>
        <u/>
        <sz val="14"/>
        <color theme="1"/>
        <rFont val="Calibri"/>
        <family val="2"/>
      </rPr>
      <t>È</t>
    </r>
    <r>
      <rPr>
        <b/>
        <u/>
        <sz val="14"/>
        <color theme="1"/>
        <rFont val="Calibri"/>
        <family val="2"/>
      </rPr>
      <t>RES</t>
    </r>
  </si>
  <si>
    <t>PRODUCTION</t>
  </si>
  <si>
    <t>Equipement</t>
  </si>
  <si>
    <t>Acheté ou possédé</t>
  </si>
  <si>
    <t>Loué ou acheté reconditionné</t>
  </si>
  <si>
    <t>Divers</t>
  </si>
  <si>
    <t>Assurances &amp; services tiers</t>
  </si>
  <si>
    <r>
      <rPr>
        <b/>
        <sz val="12"/>
        <color theme="1"/>
        <rFont val="Calibri"/>
        <family val="2"/>
      </rPr>
      <t>D</t>
    </r>
    <r>
      <rPr>
        <b/>
        <sz val="12"/>
        <color theme="1"/>
        <rFont val="Calibri"/>
        <family val="2"/>
      </rPr>
      <t>ÉCORATION</t>
    </r>
  </si>
  <si>
    <t>Montant en €</t>
  </si>
  <si>
    <t>HMC</t>
  </si>
  <si>
    <t>IMAGE</t>
  </si>
  <si>
    <t>LIEUX</t>
  </si>
  <si>
    <t>BUREAUX DE PRODUCTION</t>
  </si>
  <si>
    <r>
      <rPr>
        <b/>
        <sz val="12"/>
        <color theme="1"/>
        <rFont val="Calibri"/>
        <family val="2"/>
      </rPr>
      <t>D</t>
    </r>
    <r>
      <rPr>
        <b/>
        <sz val="12"/>
        <color theme="1"/>
        <rFont val="Calibri"/>
        <family val="2"/>
      </rPr>
      <t>É</t>
    </r>
    <r>
      <rPr>
        <b/>
        <sz val="12"/>
        <color theme="1"/>
        <rFont val="Calibri"/>
        <family val="2"/>
      </rPr>
      <t>CORATION / HMC</t>
    </r>
  </si>
  <si>
    <t>LIEUX DE TOURNAGE</t>
  </si>
  <si>
    <r>
      <rPr>
        <b/>
        <u/>
        <sz val="14"/>
        <color theme="1"/>
        <rFont val="Calibri"/>
        <family val="2"/>
      </rPr>
      <t>PETITS V</t>
    </r>
    <r>
      <rPr>
        <b/>
        <u/>
        <sz val="14"/>
        <color theme="1"/>
        <rFont val="Calibri"/>
        <family val="2"/>
      </rPr>
      <t>É</t>
    </r>
    <r>
      <rPr>
        <b/>
        <u/>
        <sz val="14"/>
        <color theme="1"/>
        <rFont val="Calibri"/>
        <family val="2"/>
      </rPr>
      <t>HICULES</t>
    </r>
  </si>
  <si>
    <r>
      <rPr>
        <b/>
        <sz val="12"/>
        <color theme="1"/>
        <rFont val="Calibri"/>
        <family val="2"/>
      </rPr>
      <t>PR</t>
    </r>
    <r>
      <rPr>
        <b/>
        <sz val="12"/>
        <color theme="1"/>
        <rFont val="Calibri"/>
        <family val="2"/>
      </rPr>
      <t>É</t>
    </r>
    <r>
      <rPr>
        <b/>
        <sz val="12"/>
        <color theme="1"/>
        <rFont val="Calibri"/>
        <family val="2"/>
      </rPr>
      <t>PA</t>
    </r>
  </si>
  <si>
    <t>TOURNAGE</t>
  </si>
  <si>
    <t>FINITIONS &amp; POST-PRODUCTION</t>
  </si>
  <si>
    <r>
      <rPr>
        <b/>
        <u/>
        <sz val="14"/>
        <color theme="1"/>
        <rFont val="Calibri"/>
        <family val="2"/>
      </rPr>
      <t>V</t>
    </r>
    <r>
      <rPr>
        <b/>
        <u/>
        <sz val="14"/>
        <color theme="1"/>
        <rFont val="Calibri"/>
        <family val="2"/>
      </rPr>
      <t>É</t>
    </r>
    <r>
      <rPr>
        <b/>
        <u/>
        <sz val="14"/>
        <color theme="1"/>
        <rFont val="Calibri"/>
        <family val="2"/>
      </rPr>
      <t>HICULES UTILITAIRES</t>
    </r>
  </si>
  <si>
    <r>
      <rPr>
        <b/>
        <sz val="12"/>
        <color theme="1"/>
        <rFont val="Calibri"/>
        <family val="2"/>
      </rPr>
      <t>V</t>
    </r>
    <r>
      <rPr>
        <b/>
        <sz val="12"/>
        <color theme="1"/>
        <rFont val="Calibri"/>
        <family val="2"/>
      </rPr>
      <t>É</t>
    </r>
    <r>
      <rPr>
        <b/>
        <sz val="12"/>
        <color theme="1"/>
        <rFont val="Calibri"/>
        <family val="2"/>
      </rPr>
      <t>HICULES UTILITAIRES - TRANSPORT DE MAT</t>
    </r>
    <r>
      <rPr>
        <b/>
        <sz val="12"/>
        <color theme="1"/>
        <rFont val="Calibri"/>
        <family val="2"/>
      </rPr>
      <t>É</t>
    </r>
    <r>
      <rPr>
        <b/>
        <sz val="12"/>
        <color theme="1"/>
        <rFont val="Calibri"/>
        <family val="2"/>
      </rPr>
      <t>RIEL</t>
    </r>
  </si>
  <si>
    <r>
      <rPr>
        <b/>
        <sz val="12"/>
        <color theme="1"/>
        <rFont val="Calibri"/>
        <family val="2"/>
      </rPr>
      <t>AUTRES V</t>
    </r>
    <r>
      <rPr>
        <b/>
        <sz val="12"/>
        <color theme="1"/>
        <rFont val="Calibri"/>
        <family val="2"/>
      </rPr>
      <t>É</t>
    </r>
    <r>
      <rPr>
        <b/>
        <sz val="12"/>
        <color theme="1"/>
        <rFont val="Calibri"/>
        <family val="2"/>
      </rPr>
      <t>HICULES - TRANSPORT DE MAT</t>
    </r>
    <r>
      <rPr>
        <b/>
        <sz val="12"/>
        <color theme="1"/>
        <rFont val="Calibri"/>
        <family val="2"/>
      </rPr>
      <t>É</t>
    </r>
    <r>
      <rPr>
        <b/>
        <sz val="12"/>
        <color theme="1"/>
        <rFont val="Calibri"/>
        <family val="2"/>
      </rPr>
      <t>RIEL</t>
    </r>
  </si>
  <si>
    <r>
      <rPr>
        <b/>
        <u/>
        <sz val="14"/>
        <color theme="1"/>
        <rFont val="Calibri"/>
        <family val="2"/>
      </rPr>
      <t>V</t>
    </r>
    <r>
      <rPr>
        <b/>
        <u/>
        <sz val="14"/>
        <color theme="1"/>
        <rFont val="Calibri"/>
        <family val="2"/>
      </rPr>
      <t>É</t>
    </r>
    <r>
      <rPr>
        <b/>
        <u/>
        <sz val="14"/>
        <color theme="1"/>
        <rFont val="Calibri"/>
        <family val="2"/>
      </rPr>
      <t>HICULES DE JEU</t>
    </r>
  </si>
  <si>
    <r>
      <rPr>
        <b/>
        <u/>
        <sz val="14"/>
        <color theme="1"/>
        <rFont val="Calibri"/>
        <family val="2"/>
      </rPr>
      <t>H</t>
    </r>
    <r>
      <rPr>
        <b/>
        <u/>
        <sz val="14"/>
        <color theme="1"/>
        <rFont val="Calibri"/>
        <family val="2"/>
      </rPr>
      <t>É</t>
    </r>
    <r>
      <rPr>
        <b/>
        <u/>
        <sz val="14"/>
        <color theme="1"/>
        <rFont val="Calibri"/>
        <family val="2"/>
      </rPr>
      <t>BERGEMENT</t>
    </r>
  </si>
  <si>
    <r>
      <rPr>
        <b/>
        <u/>
        <sz val="14"/>
        <color theme="1"/>
        <rFont val="Calibri"/>
        <family val="2"/>
      </rPr>
      <t>D</t>
    </r>
    <r>
      <rPr>
        <b/>
        <u/>
        <sz val="14"/>
        <color theme="1"/>
        <rFont val="Calibri"/>
        <family val="2"/>
      </rPr>
      <t>É</t>
    </r>
    <r>
      <rPr>
        <b/>
        <u/>
        <sz val="14"/>
        <color theme="1"/>
        <rFont val="Calibri"/>
        <family val="2"/>
      </rPr>
      <t>PLACEMENTS DE PERSONNES</t>
    </r>
  </si>
  <si>
    <r>
      <rPr>
        <b/>
        <sz val="12"/>
        <color theme="1"/>
        <rFont val="Calibri"/>
        <family val="2"/>
      </rPr>
      <t>PR</t>
    </r>
    <r>
      <rPr>
        <b/>
        <sz val="12"/>
        <color theme="1"/>
        <rFont val="Calibri"/>
        <family val="2"/>
      </rPr>
      <t>É</t>
    </r>
    <r>
      <rPr>
        <b/>
        <sz val="12"/>
        <color theme="1"/>
        <rFont val="Calibri"/>
        <family val="2"/>
      </rPr>
      <t>PA</t>
    </r>
  </si>
  <si>
    <t>REPAS</t>
  </si>
  <si>
    <r>
      <rPr>
        <b/>
        <u/>
        <sz val="14"/>
        <color theme="1"/>
        <rFont val="Calibri"/>
        <family val="2"/>
      </rPr>
      <t>D</t>
    </r>
    <r>
      <rPr>
        <b/>
        <u/>
        <sz val="14"/>
        <color theme="1"/>
        <rFont val="Calibri"/>
        <family val="2"/>
      </rPr>
      <t>É</t>
    </r>
    <r>
      <rPr>
        <b/>
        <u/>
        <sz val="14"/>
        <color theme="1"/>
        <rFont val="Calibri"/>
        <family val="2"/>
      </rPr>
      <t>CHETS</t>
    </r>
  </si>
  <si>
    <r>
      <rPr>
        <b/>
        <sz val="12"/>
        <color theme="1"/>
        <rFont val="Calibri"/>
        <family val="2"/>
      </rPr>
      <t>PR</t>
    </r>
    <r>
      <rPr>
        <b/>
        <sz val="12"/>
        <color theme="1"/>
        <rFont val="Calibri"/>
        <family val="2"/>
      </rPr>
      <t>É</t>
    </r>
    <r>
      <rPr>
        <b/>
        <sz val="12"/>
        <color theme="1"/>
        <rFont val="Calibri"/>
        <family val="2"/>
      </rPr>
      <t>PA</t>
    </r>
  </si>
  <si>
    <t>MOYENS TECHNIQUES</t>
  </si>
  <si>
    <r>
      <rPr>
        <b/>
        <u/>
        <sz val="14"/>
        <color theme="1"/>
        <rFont val="Calibri"/>
        <family val="2"/>
      </rPr>
      <t>MOYENS SP</t>
    </r>
    <r>
      <rPr>
        <b/>
        <u/>
        <sz val="14"/>
        <color theme="1"/>
        <rFont val="Calibri"/>
        <family val="2"/>
      </rPr>
      <t>É</t>
    </r>
    <r>
      <rPr>
        <b/>
        <u/>
        <sz val="14"/>
        <color theme="1"/>
        <rFont val="Calibri"/>
        <family val="2"/>
      </rPr>
      <t>CIAUX DE PRISE DE VUE</t>
    </r>
  </si>
  <si>
    <t>AIR</t>
  </si>
  <si>
    <t>TERRE</t>
  </si>
  <si>
    <t>MER</t>
  </si>
  <si>
    <r>
      <rPr>
        <b/>
        <u/>
        <sz val="14"/>
        <color theme="1"/>
        <rFont val="Calibri"/>
        <family val="2"/>
      </rPr>
      <t>CARS DE PRODUCTION &amp; CARS-R</t>
    </r>
    <r>
      <rPr>
        <b/>
        <u/>
        <sz val="14"/>
        <color theme="1"/>
        <rFont val="Calibri"/>
        <family val="2"/>
      </rPr>
      <t>É</t>
    </r>
    <r>
      <rPr>
        <b/>
        <u/>
        <sz val="14"/>
        <color theme="1"/>
        <rFont val="Calibri"/>
        <family val="2"/>
      </rPr>
      <t>GIE</t>
    </r>
  </si>
  <si>
    <t>CANTINES &amp; LOGES</t>
  </si>
  <si>
    <r>
      <rPr>
        <b/>
        <sz val="12"/>
        <color theme="1"/>
        <rFont val="Calibri"/>
        <family val="2"/>
      </rPr>
      <t>PR</t>
    </r>
    <r>
      <rPr>
        <b/>
        <sz val="12"/>
        <color theme="1"/>
        <rFont val="Calibri"/>
        <family val="2"/>
      </rPr>
      <t>É</t>
    </r>
    <r>
      <rPr>
        <b/>
        <sz val="12"/>
        <color theme="1"/>
        <rFont val="Calibri"/>
        <family val="2"/>
      </rPr>
      <t>PA</t>
    </r>
  </si>
  <si>
    <r>
      <rPr>
        <b/>
        <u/>
        <sz val="14"/>
        <color theme="1"/>
        <rFont val="Calibri"/>
        <family val="2"/>
      </rPr>
      <t xml:space="preserve">GROUPES </t>
    </r>
    <r>
      <rPr>
        <b/>
        <u/>
        <sz val="14"/>
        <color theme="1"/>
        <rFont val="Calibri"/>
        <family val="2"/>
      </rPr>
      <t>É</t>
    </r>
    <r>
      <rPr>
        <b/>
        <u/>
        <sz val="14"/>
        <color theme="1"/>
        <rFont val="Calibri"/>
        <family val="2"/>
      </rPr>
      <t>LECTRO</t>
    </r>
  </si>
  <si>
    <r>
      <rPr>
        <b/>
        <sz val="12"/>
        <color theme="1"/>
        <rFont val="Calibri"/>
        <family val="2"/>
      </rPr>
      <t>PR</t>
    </r>
    <r>
      <rPr>
        <b/>
        <sz val="12"/>
        <color theme="1"/>
        <rFont val="Calibri"/>
        <family val="2"/>
      </rPr>
      <t>É</t>
    </r>
    <r>
      <rPr>
        <b/>
        <sz val="12"/>
        <color theme="1"/>
        <rFont val="Calibri"/>
        <family val="2"/>
      </rPr>
      <t>PA</t>
    </r>
  </si>
  <si>
    <r>
      <rPr>
        <b/>
        <u/>
        <sz val="14"/>
        <color theme="1"/>
        <rFont val="Calibri"/>
        <family val="2"/>
      </rPr>
      <t>DATA NUM</t>
    </r>
    <r>
      <rPr>
        <b/>
        <u/>
        <sz val="14"/>
        <color theme="1"/>
        <rFont val="Calibri"/>
        <family val="2"/>
      </rPr>
      <t>É</t>
    </r>
    <r>
      <rPr>
        <b/>
        <u/>
        <sz val="14"/>
        <color theme="1"/>
        <rFont val="Calibri"/>
        <family val="2"/>
      </rPr>
      <t>RIQUE &amp; POST-PRODUCTION</t>
    </r>
  </si>
  <si>
    <r>
      <rPr>
        <b/>
        <sz val="12"/>
        <color theme="1"/>
        <rFont val="Calibri"/>
        <family val="2"/>
      </rPr>
      <t>DATA NUM</t>
    </r>
    <r>
      <rPr>
        <b/>
        <sz val="12"/>
        <color theme="1"/>
        <rFont val="Calibri"/>
        <family val="2"/>
      </rPr>
      <t>É</t>
    </r>
    <r>
      <rPr>
        <b/>
        <sz val="12"/>
        <color theme="1"/>
        <rFont val="Calibri"/>
        <family val="2"/>
      </rPr>
      <t>RIQUE &amp; STOCKAGE DES DONN</t>
    </r>
    <r>
      <rPr>
        <b/>
        <sz val="12"/>
        <color theme="1"/>
        <rFont val="Calibri"/>
        <family val="2"/>
      </rPr>
      <t>É</t>
    </r>
    <r>
      <rPr>
        <b/>
        <sz val="12"/>
        <color theme="1"/>
        <rFont val="Calibri"/>
        <family val="2"/>
      </rPr>
      <t>ES</t>
    </r>
  </si>
  <si>
    <t>POST-PRODUCTION</t>
  </si>
  <si>
    <t>SYNTHÈSE GRAPHIQUE PAR ONGLET</t>
  </si>
  <si>
    <t>1- DONNÉES FINANCIÈRES ET QUANTITÉS</t>
  </si>
  <si>
    <t>N/A</t>
  </si>
  <si>
    <t>2- LIEUX</t>
  </si>
  <si>
    <t>3- PETITS VÉHICULES</t>
  </si>
  <si>
    <t>VÉHICULES DE TOURISME, MINIBUS &amp; 2 ROUES ÉQUIPE</t>
  </si>
  <si>
    <r>
      <rPr>
        <b/>
        <sz val="14"/>
        <color theme="1"/>
        <rFont val="Calibri"/>
        <family val="2"/>
      </rPr>
      <t>R</t>
    </r>
    <r>
      <rPr>
        <b/>
        <sz val="14"/>
        <color theme="1"/>
        <rFont val="Calibri"/>
        <family val="2"/>
      </rPr>
      <t>É</t>
    </r>
    <r>
      <rPr>
        <b/>
        <sz val="14"/>
        <color theme="1"/>
        <rFont val="Calibri"/>
        <family val="2"/>
      </rPr>
      <t>PARTITION DES V</t>
    </r>
    <r>
      <rPr>
        <b/>
        <sz val="14"/>
        <color theme="1"/>
        <rFont val="Calibri"/>
        <family val="2"/>
      </rPr>
      <t>É</t>
    </r>
    <r>
      <rPr>
        <b/>
        <sz val="14"/>
        <color theme="1"/>
        <rFont val="Calibri"/>
        <family val="2"/>
      </rPr>
      <t>HICULES UTILIS</t>
    </r>
    <r>
      <rPr>
        <b/>
        <sz val="14"/>
        <color theme="1"/>
        <rFont val="Calibri"/>
        <family val="2"/>
      </rPr>
      <t>É</t>
    </r>
    <r>
      <rPr>
        <b/>
        <sz val="14"/>
        <color theme="1"/>
        <rFont val="Calibri"/>
        <family val="2"/>
      </rPr>
      <t>S</t>
    </r>
  </si>
  <si>
    <r>
      <rPr>
        <b/>
        <sz val="14"/>
        <color theme="1"/>
        <rFont val="Calibri"/>
        <family val="2"/>
      </rPr>
      <t>NOMBRE DE KM PAR TYPE DE V</t>
    </r>
    <r>
      <rPr>
        <b/>
        <sz val="14"/>
        <color theme="1"/>
        <rFont val="Calibri"/>
        <family val="2"/>
      </rPr>
      <t>É</t>
    </r>
    <r>
      <rPr>
        <b/>
        <sz val="14"/>
        <color theme="1"/>
        <rFont val="Calibri"/>
        <family val="2"/>
      </rPr>
      <t>HICULES</t>
    </r>
  </si>
  <si>
    <r>
      <rPr>
        <b/>
        <sz val="14"/>
        <color theme="1"/>
        <rFont val="Calibri"/>
        <family val="2"/>
      </rPr>
      <t>NB DE KM PARCOURUS PAR TYPE DE V</t>
    </r>
    <r>
      <rPr>
        <b/>
        <sz val="14"/>
        <color theme="1"/>
        <rFont val="Calibri"/>
        <family val="2"/>
      </rPr>
      <t>É</t>
    </r>
    <r>
      <rPr>
        <b/>
        <sz val="14"/>
        <color theme="1"/>
        <rFont val="Calibri"/>
        <family val="2"/>
      </rPr>
      <t>HICULES SELON LA P</t>
    </r>
    <r>
      <rPr>
        <b/>
        <sz val="14"/>
        <color theme="1"/>
        <rFont val="Calibri"/>
        <family val="2"/>
      </rPr>
      <t>É</t>
    </r>
    <r>
      <rPr>
        <b/>
        <sz val="14"/>
        <color theme="1"/>
        <rFont val="Calibri"/>
        <family val="2"/>
      </rPr>
      <t>RIODE DE TOURNAGE</t>
    </r>
  </si>
  <si>
    <r>
      <rPr>
        <b/>
        <sz val="14"/>
        <color theme="1"/>
        <rFont val="Calibri"/>
        <family val="2"/>
      </rPr>
      <t>PR</t>
    </r>
    <r>
      <rPr>
        <b/>
        <sz val="14"/>
        <color theme="1"/>
        <rFont val="Calibri"/>
        <family val="2"/>
      </rPr>
      <t>É</t>
    </r>
    <r>
      <rPr>
        <b/>
        <sz val="14"/>
        <color theme="1"/>
        <rFont val="Calibri"/>
        <family val="2"/>
      </rPr>
      <t>PA</t>
    </r>
  </si>
  <si>
    <t>FINITIONS &amp; POST-PROD</t>
  </si>
  <si>
    <t>4- VÉHICULES UTILITAIRES</t>
  </si>
  <si>
    <r>
      <rPr>
        <b/>
        <sz val="14"/>
        <color theme="1"/>
        <rFont val="Calibri"/>
        <family val="2"/>
      </rPr>
      <t>PR</t>
    </r>
    <r>
      <rPr>
        <b/>
        <sz val="14"/>
        <color theme="1"/>
        <rFont val="Calibri"/>
        <family val="2"/>
      </rPr>
      <t>É</t>
    </r>
    <r>
      <rPr>
        <b/>
        <sz val="14"/>
        <color theme="1"/>
        <rFont val="Calibri"/>
        <family val="2"/>
      </rPr>
      <t>PA</t>
    </r>
  </si>
  <si>
    <t>5- VÉHICULES DE JEU</t>
  </si>
  <si>
    <r>
      <rPr>
        <b/>
        <sz val="14"/>
        <color theme="1"/>
        <rFont val="Calibri"/>
        <family val="2"/>
      </rPr>
      <t>R</t>
    </r>
    <r>
      <rPr>
        <b/>
        <sz val="14"/>
        <color theme="1"/>
        <rFont val="Calibri"/>
        <family val="2"/>
      </rPr>
      <t>É</t>
    </r>
    <r>
      <rPr>
        <b/>
        <sz val="14"/>
        <color theme="1"/>
        <rFont val="Calibri"/>
        <family val="2"/>
      </rPr>
      <t>PARTITION DES V</t>
    </r>
    <r>
      <rPr>
        <b/>
        <sz val="14"/>
        <color theme="1"/>
        <rFont val="Calibri"/>
        <family val="2"/>
      </rPr>
      <t>É</t>
    </r>
    <r>
      <rPr>
        <b/>
        <sz val="14"/>
        <color theme="1"/>
        <rFont val="Calibri"/>
        <family val="2"/>
      </rPr>
      <t>HICULES DE JEU EN FONCTION DES KM PARCOURUS POUR LE TOURNAGE</t>
    </r>
  </si>
  <si>
    <r>
      <rPr>
        <b/>
        <sz val="20"/>
        <color theme="1"/>
        <rFont val="Calibri"/>
        <family val="2"/>
      </rPr>
      <t>6- H</t>
    </r>
    <r>
      <rPr>
        <b/>
        <sz val="20"/>
        <color theme="1"/>
        <rFont val="Calibri"/>
        <family val="2"/>
      </rPr>
      <t>É</t>
    </r>
    <r>
      <rPr>
        <b/>
        <sz val="20"/>
        <color theme="1"/>
        <rFont val="Calibri"/>
        <family val="2"/>
      </rPr>
      <t>BERGEMENT</t>
    </r>
  </si>
  <si>
    <r>
      <rPr>
        <b/>
        <sz val="14"/>
        <color theme="1"/>
        <rFont val="Calibri"/>
        <family val="2"/>
      </rPr>
      <t>PR</t>
    </r>
    <r>
      <rPr>
        <b/>
        <sz val="14"/>
        <color theme="1"/>
        <rFont val="Calibri"/>
        <family val="2"/>
      </rPr>
      <t>É</t>
    </r>
    <r>
      <rPr>
        <b/>
        <sz val="14"/>
        <color theme="1"/>
        <rFont val="Calibri"/>
        <family val="2"/>
      </rPr>
      <t>PA</t>
    </r>
  </si>
  <si>
    <r>
      <rPr>
        <b/>
        <sz val="20"/>
        <color theme="1"/>
        <rFont val="Calibri"/>
        <family val="2"/>
      </rPr>
      <t>7- D</t>
    </r>
    <r>
      <rPr>
        <b/>
        <sz val="20"/>
        <color theme="1"/>
        <rFont val="Calibri"/>
        <family val="2"/>
      </rPr>
      <t>É</t>
    </r>
    <r>
      <rPr>
        <b/>
        <sz val="20"/>
        <color theme="1"/>
        <rFont val="Calibri"/>
        <family val="2"/>
      </rPr>
      <t>PLACEMENTS DE PERSONNES</t>
    </r>
  </si>
  <si>
    <r>
      <rPr>
        <b/>
        <sz val="14"/>
        <color theme="1"/>
        <rFont val="Calibri"/>
        <family val="2"/>
      </rPr>
      <t>PR</t>
    </r>
    <r>
      <rPr>
        <b/>
        <sz val="14"/>
        <color theme="1"/>
        <rFont val="Calibri"/>
        <family val="2"/>
      </rPr>
      <t>É</t>
    </r>
    <r>
      <rPr>
        <b/>
        <sz val="14"/>
        <color theme="1"/>
        <rFont val="Calibri"/>
        <family val="2"/>
      </rPr>
      <t>PA</t>
    </r>
  </si>
  <si>
    <t>PRODUCTION TOTALE PAR TYPE DE TRANSPORT</t>
  </si>
  <si>
    <t>PRODUCTION TOTALE PAR CATEGORIE DE TRANSPORT</t>
  </si>
  <si>
    <t>8- REPAS</t>
  </si>
  <si>
    <r>
      <rPr>
        <b/>
        <sz val="20"/>
        <color theme="1"/>
        <rFont val="Calibri"/>
        <family val="2"/>
      </rPr>
      <t>9- D</t>
    </r>
    <r>
      <rPr>
        <b/>
        <sz val="20"/>
        <color theme="1"/>
        <rFont val="Calibri"/>
        <family val="2"/>
      </rPr>
      <t>É</t>
    </r>
    <r>
      <rPr>
        <b/>
        <sz val="20"/>
        <color theme="1"/>
        <rFont val="Calibri"/>
        <family val="2"/>
      </rPr>
      <t>CH</t>
    </r>
    <r>
      <rPr>
        <b/>
        <sz val="20"/>
        <color theme="1"/>
        <rFont val="Calibri"/>
        <family val="2"/>
      </rPr>
      <t>Ê</t>
    </r>
    <r>
      <rPr>
        <b/>
        <sz val="20"/>
        <color theme="1"/>
        <rFont val="Calibri"/>
        <family val="2"/>
      </rPr>
      <t>TS</t>
    </r>
  </si>
  <si>
    <r>
      <rPr>
        <b/>
        <sz val="14"/>
        <color theme="1"/>
        <rFont val="Calibri"/>
        <family val="2"/>
      </rPr>
      <t>PR</t>
    </r>
    <r>
      <rPr>
        <b/>
        <sz val="14"/>
        <color theme="1"/>
        <rFont val="Calibri"/>
        <family val="2"/>
      </rPr>
      <t>É</t>
    </r>
    <r>
      <rPr>
        <b/>
        <sz val="14"/>
        <color theme="1"/>
        <rFont val="Calibri"/>
        <family val="2"/>
      </rPr>
      <t>PA</t>
    </r>
  </si>
  <si>
    <r>
      <rPr>
        <b/>
        <sz val="14"/>
        <color theme="1"/>
        <rFont val="Calibri"/>
        <family val="2"/>
      </rPr>
      <t>QUANTIT</t>
    </r>
    <r>
      <rPr>
        <b/>
        <sz val="14"/>
        <color theme="1"/>
        <rFont val="Calibri"/>
        <family val="2"/>
      </rPr>
      <t>É</t>
    </r>
    <r>
      <rPr>
        <b/>
        <sz val="14"/>
        <color theme="1"/>
        <rFont val="Calibri"/>
        <family val="2"/>
      </rPr>
      <t xml:space="preserve"> DE D</t>
    </r>
    <r>
      <rPr>
        <b/>
        <sz val="14"/>
        <color theme="1"/>
        <rFont val="Calibri"/>
        <family val="2"/>
      </rPr>
      <t>É</t>
    </r>
    <r>
      <rPr>
        <b/>
        <sz val="14"/>
        <color theme="1"/>
        <rFont val="Calibri"/>
        <family val="2"/>
      </rPr>
      <t>CH</t>
    </r>
    <r>
      <rPr>
        <b/>
        <sz val="14"/>
        <color theme="1"/>
        <rFont val="Calibri"/>
        <family val="2"/>
      </rPr>
      <t>Ê</t>
    </r>
    <r>
      <rPr>
        <b/>
        <sz val="14"/>
        <color theme="1"/>
        <rFont val="Calibri"/>
        <family val="2"/>
      </rPr>
      <t>TS SUR LA GLOBALIT</t>
    </r>
    <r>
      <rPr>
        <b/>
        <sz val="14"/>
        <color theme="1"/>
        <rFont val="Calibri"/>
        <family val="2"/>
      </rPr>
      <t>É</t>
    </r>
    <r>
      <rPr>
        <b/>
        <sz val="14"/>
        <color theme="1"/>
        <rFont val="Calibri"/>
        <family val="2"/>
      </rPr>
      <t xml:space="preserve"> DE LA PRODUCTION (en kg)</t>
    </r>
  </si>
  <si>
    <t>10- MOYENS TECHNIQUES</t>
  </si>
  <si>
    <r>
      <rPr>
        <b/>
        <sz val="20"/>
        <color theme="1"/>
        <rFont val="Calibri"/>
        <family val="2"/>
      </rPr>
      <t>11- MOYENS SP</t>
    </r>
    <r>
      <rPr>
        <b/>
        <sz val="20"/>
        <color theme="1"/>
        <rFont val="Calibri"/>
        <family val="2"/>
      </rPr>
      <t>É</t>
    </r>
    <r>
      <rPr>
        <b/>
        <sz val="20"/>
        <color theme="1"/>
        <rFont val="Calibri"/>
        <family val="2"/>
      </rPr>
      <t>CIAUX DE PRISE DE VUE</t>
    </r>
  </si>
  <si>
    <r>
      <rPr>
        <b/>
        <sz val="20"/>
        <color theme="1"/>
        <rFont val="Calibri"/>
        <family val="2"/>
      </rPr>
      <t>12- CARS DE PRODUCTION &amp; CARS-R</t>
    </r>
    <r>
      <rPr>
        <b/>
        <sz val="20"/>
        <color theme="1"/>
        <rFont val="Calibri"/>
        <family val="2"/>
      </rPr>
      <t>É</t>
    </r>
    <r>
      <rPr>
        <b/>
        <sz val="20"/>
        <color theme="1"/>
        <rFont val="Calibri"/>
        <family val="2"/>
      </rPr>
      <t>GIE</t>
    </r>
  </si>
  <si>
    <t>13- CANTINES &amp; LOGES</t>
  </si>
  <si>
    <r>
      <rPr>
        <b/>
        <sz val="20"/>
        <color theme="1"/>
        <rFont val="Calibri"/>
        <family val="2"/>
      </rPr>
      <t xml:space="preserve">14- GROUPES </t>
    </r>
    <r>
      <rPr>
        <b/>
        <sz val="20"/>
        <color theme="1"/>
        <rFont val="Calibri"/>
        <family val="2"/>
      </rPr>
      <t>É</t>
    </r>
    <r>
      <rPr>
        <b/>
        <sz val="20"/>
        <color theme="1"/>
        <rFont val="Calibri"/>
        <family val="2"/>
      </rPr>
      <t>LECTROG</t>
    </r>
    <r>
      <rPr>
        <b/>
        <sz val="20"/>
        <color theme="1"/>
        <rFont val="Calibri"/>
        <family val="2"/>
      </rPr>
      <t>È</t>
    </r>
    <r>
      <rPr>
        <b/>
        <sz val="20"/>
        <color theme="1"/>
        <rFont val="Calibri"/>
        <family val="2"/>
      </rPr>
      <t>NES</t>
    </r>
  </si>
  <si>
    <r>
      <rPr>
        <b/>
        <sz val="20"/>
        <color theme="1"/>
        <rFont val="Calibri"/>
        <family val="2"/>
      </rPr>
      <t>15- DATA NUM</t>
    </r>
    <r>
      <rPr>
        <b/>
        <sz val="20"/>
        <color theme="1"/>
        <rFont val="Calibri"/>
        <family val="2"/>
      </rPr>
      <t>É</t>
    </r>
    <r>
      <rPr>
        <b/>
        <sz val="20"/>
        <color theme="1"/>
        <rFont val="Calibri"/>
        <family val="2"/>
      </rPr>
      <t>RIQUE &amp; POST-PRODUCTION</t>
    </r>
  </si>
  <si>
    <r>
      <rPr>
        <b/>
        <sz val="14"/>
        <color theme="1"/>
        <rFont val="Calibri"/>
        <family val="2"/>
      </rPr>
      <t>DATA NUM</t>
    </r>
    <r>
      <rPr>
        <b/>
        <sz val="14"/>
        <color theme="1"/>
        <rFont val="Calibri"/>
        <family val="2"/>
      </rPr>
      <t>É</t>
    </r>
    <r>
      <rPr>
        <b/>
        <sz val="14"/>
        <color theme="1"/>
        <rFont val="Calibri"/>
        <family val="2"/>
      </rPr>
      <t>RIQUE &amp; STOCKAGE DES DONN</t>
    </r>
    <r>
      <rPr>
        <b/>
        <sz val="14"/>
        <color theme="1"/>
        <rFont val="Calibri"/>
        <family val="2"/>
      </rPr>
      <t>É</t>
    </r>
    <r>
      <rPr>
        <b/>
        <sz val="14"/>
        <color theme="1"/>
        <rFont val="Calibri"/>
        <family val="2"/>
      </rPr>
      <t>ES</t>
    </r>
  </si>
  <si>
    <t>DONNÉES FINANCIÈRES ET QUANTITÉS</t>
  </si>
  <si>
    <t>Toutes les cellules doivent être remplies. S'il n'y a rien à mettre, indiquer néanmoins 0 (zéro).</t>
  </si>
  <si>
    <t xml:space="preserve">Chaque cellule comportant un triangle rouge dans le coin droit indique une aide pour remplir les données. </t>
  </si>
  <si>
    <t>ACHETÉ OU POSSÉDÉ</t>
  </si>
  <si>
    <t>LOUÉ OU ACHETÉ RECONDITIONNÉ</t>
  </si>
  <si>
    <t>TYPE D'ÉQUIPEMENT</t>
  </si>
  <si>
    <t>QUANTITÉ</t>
  </si>
  <si>
    <t>Ordinateur fixe</t>
  </si>
  <si>
    <t>Ordinateur fixe (puissant)</t>
  </si>
  <si>
    <t>Ordinateur portable</t>
  </si>
  <si>
    <t>Tablette</t>
  </si>
  <si>
    <t>Imprimante multifonction</t>
  </si>
  <si>
    <t>Disque dur HDD</t>
  </si>
  <si>
    <t>Disque dur SSD</t>
  </si>
  <si>
    <r>
      <rPr>
        <sz val="12"/>
        <color theme="1"/>
        <rFont val="Calibri"/>
        <family val="2"/>
      </rPr>
      <t>Assurances</t>
    </r>
    <r>
      <rPr>
        <i/>
        <sz val="10"/>
        <color theme="1"/>
        <rFont val="Calibri"/>
        <family val="2"/>
      </rPr>
      <t xml:space="preserve"> (montant en €)</t>
    </r>
  </si>
  <si>
    <r>
      <rPr>
        <sz val="12"/>
        <color theme="1"/>
        <rFont val="Calibri"/>
        <family val="2"/>
      </rPr>
      <t xml:space="preserve">Services tiers </t>
    </r>
    <r>
      <rPr>
        <i/>
        <sz val="10"/>
        <color theme="1"/>
        <rFont val="Calibri"/>
        <family val="2"/>
      </rPr>
      <t>(montant en €)</t>
    </r>
  </si>
  <si>
    <r>
      <rPr>
        <b/>
        <sz val="14"/>
        <color theme="1"/>
        <rFont val="Calibri"/>
        <family val="2"/>
      </rPr>
      <t xml:space="preserve">DÉCORATION
</t>
    </r>
    <r>
      <rPr>
        <b/>
        <i/>
        <sz val="12"/>
        <color theme="1"/>
        <rFont val="Calibri"/>
        <family val="2"/>
      </rPr>
      <t>(montant en €)</t>
    </r>
  </si>
  <si>
    <t xml:space="preserve">Montant des achats pour l'aménagement des décors </t>
  </si>
  <si>
    <t xml:space="preserve">Montant des achats de seconde main pour l'aménagement des décors </t>
  </si>
  <si>
    <t xml:space="preserve">Montant des constructions et des achats de matières premières </t>
  </si>
  <si>
    <t xml:space="preserve">Montant des locations pour l'aménagement des décors </t>
  </si>
  <si>
    <t>Montant dispositifs d'effets spéciaux (SFX) et cascades</t>
  </si>
  <si>
    <r>
      <rPr>
        <b/>
        <sz val="14"/>
        <color theme="1"/>
        <rFont val="Calibri"/>
        <family val="2"/>
      </rPr>
      <t xml:space="preserve">HABILLAGE - MAQUILLAGE - COIFFURE
</t>
    </r>
    <r>
      <rPr>
        <b/>
        <i/>
        <sz val="12"/>
        <color theme="1"/>
        <rFont val="Calibri"/>
        <family val="2"/>
      </rPr>
      <t>(montant en €)</t>
    </r>
  </si>
  <si>
    <t>Montant des achats de costumes</t>
  </si>
  <si>
    <t>Montant des achats de seconde main pour les costumes</t>
  </si>
  <si>
    <t>Montant des confections de costumes</t>
  </si>
  <si>
    <t xml:space="preserve">Montant des locations de costumes </t>
  </si>
  <si>
    <t>Montant des achats de maquillage</t>
  </si>
  <si>
    <t>Montant des achats de coiffure</t>
  </si>
  <si>
    <r>
      <rPr>
        <b/>
        <sz val="14"/>
        <color theme="1"/>
        <rFont val="Calibri"/>
        <family val="2"/>
      </rPr>
      <t xml:space="preserve">IMAGE
</t>
    </r>
    <r>
      <rPr>
        <b/>
        <i/>
        <sz val="12"/>
        <color theme="1"/>
        <rFont val="Calibri"/>
        <family val="2"/>
      </rPr>
      <t>(montant en €)</t>
    </r>
  </si>
  <si>
    <t>Coût d'achat des pellicules et supports</t>
  </si>
  <si>
    <t>Les cellules de couleur rouge pâle concernant les données du Carbon Clap ont une liste déroulante et doivent être mises à jour régulièrement pour l'état d'avancement du dossier.</t>
  </si>
  <si>
    <t>Les cellules de couleur jaune pâle possèdent elles aussi une liste déroulante.</t>
  </si>
  <si>
    <t xml:space="preserve">Chaque cellule comportant un triangle rouge dans le coin droit indique une aide pour remplir les données </t>
  </si>
  <si>
    <t>Données entrées dans Carbon Clap</t>
  </si>
  <si>
    <r>
      <rPr>
        <b/>
        <sz val="12"/>
        <color theme="1"/>
        <rFont val="Calibri"/>
        <family val="2"/>
      </rPr>
      <t>D</t>
    </r>
    <r>
      <rPr>
        <b/>
        <sz val="12"/>
        <color theme="1"/>
        <rFont val="Calibri"/>
        <family val="2"/>
      </rPr>
      <t>É</t>
    </r>
    <r>
      <rPr>
        <b/>
        <sz val="12"/>
        <color theme="1"/>
        <rFont val="Calibri"/>
        <family val="2"/>
      </rPr>
      <t>NOMINATION LOCAUX</t>
    </r>
  </si>
  <si>
    <t>TYPE</t>
  </si>
  <si>
    <t>LOCALISATION</t>
  </si>
  <si>
    <r>
      <rPr>
        <b/>
        <sz val="12"/>
        <color theme="1"/>
        <rFont val="Calibri"/>
        <family val="2"/>
      </rPr>
      <t>É</t>
    </r>
    <r>
      <rPr>
        <b/>
        <sz val="12"/>
        <color theme="1"/>
        <rFont val="Calibri"/>
        <family val="2"/>
      </rPr>
      <t>TAPE DE PRODUCTION</t>
    </r>
  </si>
  <si>
    <r>
      <rPr>
        <b/>
        <sz val="12"/>
        <color theme="1"/>
        <rFont val="Calibri"/>
        <family val="2"/>
      </rPr>
      <t xml:space="preserve">NB DE JOURS D'ACTIVITÉ EN PRÉSENTIEL
</t>
    </r>
    <r>
      <rPr>
        <b/>
        <i/>
        <sz val="8"/>
        <color theme="1"/>
        <rFont val="Calibri"/>
        <family val="2"/>
      </rPr>
      <t>(en jour.humain)</t>
    </r>
  </si>
  <si>
    <r>
      <rPr>
        <b/>
        <sz val="12"/>
        <color theme="1"/>
        <rFont val="Calibri"/>
        <family val="2"/>
      </rPr>
      <t>NB DE JOURS D'ACTIVITÉ EN T</t>
    </r>
    <r>
      <rPr>
        <b/>
        <sz val="12"/>
        <color theme="1"/>
        <rFont val="Calibri"/>
        <family val="2"/>
      </rPr>
      <t>É</t>
    </r>
    <r>
      <rPr>
        <b/>
        <sz val="12"/>
        <color theme="1"/>
        <rFont val="Calibri"/>
        <family val="2"/>
      </rPr>
      <t>L</t>
    </r>
    <r>
      <rPr>
        <b/>
        <sz val="12"/>
        <color theme="1"/>
        <rFont val="Calibri"/>
        <family val="2"/>
      </rPr>
      <t>É</t>
    </r>
    <r>
      <rPr>
        <b/>
        <sz val="12"/>
        <color theme="1"/>
        <rFont val="Calibri"/>
        <family val="2"/>
      </rPr>
      <t xml:space="preserve">TRAVAIL
</t>
    </r>
    <r>
      <rPr>
        <b/>
        <i/>
        <sz val="8"/>
        <color theme="1"/>
        <rFont val="Calibri"/>
        <family val="2"/>
      </rPr>
      <t>(en jour.humain)</t>
    </r>
  </si>
  <si>
    <t>NB DE JOURS D'OCCUPATION DES LOCAUX</t>
  </si>
  <si>
    <t>SURFACE en m²</t>
  </si>
  <si>
    <t>LIEU</t>
  </si>
  <si>
    <r>
      <rPr>
        <b/>
        <sz val="12"/>
        <color theme="1"/>
        <rFont val="Calibri"/>
        <family val="2"/>
      </rPr>
      <t>RELEV</t>
    </r>
    <r>
      <rPr>
        <b/>
        <sz val="12"/>
        <color theme="1"/>
        <rFont val="Calibri"/>
        <family val="2"/>
      </rPr>
      <t>É</t>
    </r>
    <r>
      <rPr>
        <b/>
        <sz val="12"/>
        <color theme="1"/>
        <rFont val="Calibri"/>
        <family val="2"/>
      </rPr>
      <t xml:space="preserve"> CONSO
(en kWh)</t>
    </r>
  </si>
  <si>
    <t>TYPE DE
CHAUFFAGE</t>
  </si>
  <si>
    <r>
      <rPr>
        <b/>
        <sz val="12"/>
        <color theme="1"/>
        <rFont val="Calibri"/>
        <family val="2"/>
      </rPr>
      <t>RELEV</t>
    </r>
    <r>
      <rPr>
        <b/>
        <sz val="12"/>
        <color theme="1"/>
        <rFont val="Calibri"/>
        <family val="2"/>
      </rPr>
      <t>É</t>
    </r>
    <r>
      <rPr>
        <b/>
        <sz val="12"/>
        <color theme="1"/>
        <rFont val="Calibri"/>
        <family val="2"/>
      </rPr>
      <t xml:space="preserve"> CONSO CHAUFFAGE
CHAUFFAGE</t>
    </r>
  </si>
  <si>
    <t>NBRE DE CLIMATISEURS</t>
  </si>
  <si>
    <t>Plateau</t>
  </si>
  <si>
    <t>Hors-Plateau (bureaux, loges, etc.)</t>
  </si>
  <si>
    <t>A-t-il + de 30 ans ?</t>
  </si>
  <si>
    <t>Est-il chauffé ?</t>
  </si>
  <si>
    <t>Est-il climatisé ?</t>
  </si>
  <si>
    <r>
      <rPr>
        <b/>
        <sz val="12"/>
        <color theme="1"/>
        <rFont val="Calibri"/>
        <family val="2"/>
      </rPr>
      <t>CHIFFRES RELEV</t>
    </r>
    <r>
      <rPr>
        <b/>
        <sz val="12"/>
        <color theme="1"/>
        <rFont val="Calibri"/>
        <family val="2"/>
      </rPr>
      <t>ÉS</t>
    </r>
  </si>
  <si>
    <t>UNITÉ DE MESURE UTILISÉE</t>
  </si>
  <si>
    <t xml:space="preserve"> - BUREAUX DE PRODUCTION -</t>
  </si>
  <si>
    <t>à faire</t>
  </si>
  <si>
    <t>Bureau</t>
  </si>
  <si>
    <t>France métropolitaine</t>
  </si>
  <si>
    <t>Prépa</t>
  </si>
  <si>
    <t>Oui</t>
  </si>
  <si>
    <t>NON</t>
  </si>
  <si>
    <t>Électrique</t>
  </si>
  <si>
    <t>kWh</t>
  </si>
  <si>
    <t>Fioul</t>
  </si>
  <si>
    <t>Gaz</t>
  </si>
  <si>
    <t>validé</t>
  </si>
  <si>
    <t>OUI</t>
  </si>
  <si>
    <t>Tournage</t>
  </si>
  <si>
    <t>Événementiel Intérieur</t>
  </si>
  <si>
    <t>en cours</t>
  </si>
  <si>
    <t>Finitions &amp; Post-Prod</t>
  </si>
  <si>
    <t xml:space="preserve"> - DECORATION / HMC -</t>
  </si>
  <si>
    <t>Stockage</t>
  </si>
  <si>
    <t>Je ne sais pas</t>
  </si>
  <si>
    <t>Atelier</t>
  </si>
  <si>
    <t xml:space="preserve"> - LIEUX DE TOURNAGE -</t>
  </si>
  <si>
    <t>Décor naturel Intérieur</t>
  </si>
  <si>
    <t>Studio intérieur</t>
  </si>
  <si>
    <t>Décor naturel Extérieur</t>
  </si>
  <si>
    <t>Studio Extérieur</t>
  </si>
  <si>
    <t>Non</t>
  </si>
  <si>
    <t>Événementiel Extérieur</t>
  </si>
  <si>
    <t>Les différents compteurs :</t>
  </si>
  <si>
    <t>Matrice de nom pour le Carbon'Clap</t>
  </si>
  <si>
    <t>CONDUCTEUR_MARQUE_IMMAT_DATEDEBUT&amp;FIN</t>
  </si>
  <si>
    <t>Supprimer les lignes vides pour la validation de l'onglet.</t>
  </si>
  <si>
    <t>FOURNISSEUR</t>
  </si>
  <si>
    <t>CONDUCTEUR</t>
  </si>
  <si>
    <t>MARQUE</t>
  </si>
  <si>
    <t>MODELE</t>
  </si>
  <si>
    <t>IMMATRICULATION</t>
  </si>
  <si>
    <t>TYPE DE VEHICULE</t>
  </si>
  <si>
    <t>DEBUT DE LA LOCATION</t>
  </si>
  <si>
    <t>FIN DE LA LOCATION</t>
  </si>
  <si>
    <t>NB DE KM PARCOURUS</t>
  </si>
  <si>
    <t xml:space="preserve"> - PREPA -</t>
  </si>
  <si>
    <t>Voiture diesel</t>
  </si>
  <si>
    <t>Voiture essence</t>
  </si>
  <si>
    <t>Scooter électrique</t>
  </si>
  <si>
    <t>Voiture hybride</t>
  </si>
  <si>
    <t>Minibus / Van</t>
  </si>
  <si>
    <t xml:space="preserve"> - TOURNAGE -</t>
  </si>
  <si>
    <t>//</t>
  </si>
  <si>
    <t>Scooter essence</t>
  </si>
  <si>
    <t xml:space="preserve"> - FINITIONS &amp; POST-PRODUCTION -</t>
  </si>
  <si>
    <t>Taxi</t>
  </si>
  <si>
    <t>Bus</t>
  </si>
  <si>
    <t>TOTAL</t>
  </si>
  <si>
    <r>
      <rPr>
        <b/>
        <sz val="20"/>
        <color theme="1"/>
        <rFont val="Calibri"/>
        <family val="2"/>
      </rPr>
      <t>SYNTH</t>
    </r>
    <r>
      <rPr>
        <b/>
        <sz val="20"/>
        <color theme="1"/>
        <rFont val="Calibri"/>
        <family val="2"/>
      </rPr>
      <t>È</t>
    </r>
    <r>
      <rPr>
        <b/>
        <sz val="20"/>
        <color theme="1"/>
        <rFont val="Calibri"/>
        <family val="2"/>
      </rPr>
      <t>SE GRAPHIQUE</t>
    </r>
  </si>
  <si>
    <t>Type de véhicules</t>
  </si>
  <si>
    <t>Nb de véhicule</t>
  </si>
  <si>
    <t>%</t>
  </si>
  <si>
    <t>Voiture électrique</t>
  </si>
  <si>
    <t>Moto &gt;250cc</t>
  </si>
  <si>
    <t>Nb de km</t>
  </si>
  <si>
    <r>
      <rPr>
        <b/>
        <sz val="12"/>
        <color theme="1"/>
        <rFont val="Calibri"/>
        <family val="2"/>
      </rPr>
      <t>NB DE KM PARCOURUS PAR TYPE DE V</t>
    </r>
    <r>
      <rPr>
        <b/>
        <sz val="12"/>
        <color theme="1"/>
        <rFont val="Calibri"/>
        <family val="2"/>
      </rPr>
      <t>É</t>
    </r>
    <r>
      <rPr>
        <b/>
        <sz val="12"/>
        <color theme="1"/>
        <rFont val="Calibri"/>
        <family val="2"/>
      </rPr>
      <t>HICULES</t>
    </r>
  </si>
  <si>
    <t>Finitions &amp; PP</t>
  </si>
  <si>
    <t>VÉHICULES UTILITAIRES</t>
  </si>
  <si>
    <t>TYPE DE TRANSPORT</t>
  </si>
  <si>
    <t>ETAPE DE TOURNAGE</t>
  </si>
  <si>
    <t>LOUEUR</t>
  </si>
  <si>
    <t>ENERGIE</t>
  </si>
  <si>
    <t>CHARGE MAX.
EN KG</t>
  </si>
  <si>
    <t>CHARGE EFFECTIVE
EN KG</t>
  </si>
  <si>
    <t>NB DE TRAJETS</t>
  </si>
  <si>
    <t>NB DE KM</t>
  </si>
  <si>
    <t xml:space="preserve"> - VEHICULES UTILITAIRES - TRANSPORT DE MATERIEL -</t>
  </si>
  <si>
    <t>Camionnette</t>
  </si>
  <si>
    <t>Essence</t>
  </si>
  <si>
    <t>Camion &lt;7t</t>
  </si>
  <si>
    <t>Diesel</t>
  </si>
  <si>
    <t>Camion &gt;7t</t>
  </si>
  <si>
    <t xml:space="preserve"> - AUTRES VEHICULES - TRANSPORT DE MATERIEL -</t>
  </si>
  <si>
    <t>Fret - train</t>
  </si>
  <si>
    <t>Fret - bateau</t>
  </si>
  <si>
    <t>Fret - avion</t>
  </si>
  <si>
    <t>NB DE VEHICULES UTILITAIRES UTILISES POUR LE TRANSPORT DE MATERIEL</t>
  </si>
  <si>
    <t>NB TOTAL DE KM DES VEHICULES UTILITAIRES</t>
  </si>
  <si>
    <t>NB DE VEHICULES AUTRES UTILISES POUR LE TRANSPORT DE MATERIEL</t>
  </si>
  <si>
    <t>NB TOTAL DE KM DES AUTRES VEHICULES</t>
  </si>
  <si>
    <r>
      <rPr>
        <b/>
        <sz val="20"/>
        <color theme="1"/>
        <rFont val="Calibri"/>
        <family val="2"/>
      </rPr>
      <t>SYNTH</t>
    </r>
    <r>
      <rPr>
        <b/>
        <sz val="20"/>
        <color theme="1"/>
        <rFont val="Calibri"/>
        <family val="2"/>
      </rPr>
      <t>È</t>
    </r>
    <r>
      <rPr>
        <b/>
        <sz val="20"/>
        <color theme="1"/>
        <rFont val="Calibri"/>
        <family val="2"/>
      </rPr>
      <t>SE GRAPHIQUE</t>
    </r>
  </si>
  <si>
    <t>VEHICULES UTILITAIRES</t>
  </si>
  <si>
    <t>Voitures éléctriques louées</t>
  </si>
  <si>
    <t>Nb de kms des voitures éléctriques</t>
  </si>
  <si>
    <t>Voitures Hybrides louées</t>
  </si>
  <si>
    <t>Nb de kms des voitures hybrides</t>
  </si>
  <si>
    <t>Voitures Essence louées</t>
  </si>
  <si>
    <t>Nb de kms des voitures Essence</t>
  </si>
  <si>
    <t>Voitures Hybrides Diesel</t>
  </si>
  <si>
    <t>Nb de kms des voitures Diesel</t>
  </si>
  <si>
    <t>Fret Train</t>
  </si>
  <si>
    <t>Nb de kms - fret Train</t>
  </si>
  <si>
    <t>Fret Avion</t>
  </si>
  <si>
    <t>Nb de kms - Fret Avion</t>
  </si>
  <si>
    <t>Fret Bateau</t>
  </si>
  <si>
    <t xml:space="preserve">Nb de kms - Fret Bateau </t>
  </si>
  <si>
    <t>Total</t>
  </si>
  <si>
    <t>Camionette</t>
  </si>
  <si>
    <t>VÉHICULES DE JEU</t>
  </si>
  <si>
    <t>ETAPES DE TOURNAGE</t>
  </si>
  <si>
    <t>NB DE KM TOTAL PARCOURUS AVEC LES VEHICULES DE JEU</t>
  </si>
  <si>
    <r>
      <rPr>
        <b/>
        <sz val="20"/>
        <color theme="1"/>
        <rFont val="Calibri"/>
        <family val="2"/>
      </rPr>
      <t>SYNTH</t>
    </r>
    <r>
      <rPr>
        <b/>
        <sz val="20"/>
        <color theme="1"/>
        <rFont val="Calibri"/>
        <family val="2"/>
      </rPr>
      <t>È</t>
    </r>
    <r>
      <rPr>
        <b/>
        <sz val="20"/>
        <color theme="1"/>
        <rFont val="Calibri"/>
        <family val="2"/>
      </rPr>
      <t>SE GRAPHIQUE</t>
    </r>
  </si>
  <si>
    <r>
      <rPr>
        <b/>
        <sz val="20"/>
        <color theme="1"/>
        <rFont val="Calibri"/>
        <family val="2"/>
      </rPr>
      <t>H</t>
    </r>
    <r>
      <rPr>
        <b/>
        <sz val="20"/>
        <color theme="1"/>
        <rFont val="Calibri"/>
        <family val="2"/>
      </rPr>
      <t>É</t>
    </r>
    <r>
      <rPr>
        <b/>
        <sz val="20"/>
        <color theme="1"/>
        <rFont val="Calibri"/>
        <family val="2"/>
      </rPr>
      <t>BERGEMENT</t>
    </r>
  </si>
  <si>
    <t>Les cellules grises contiennent des formules automatiques - ne pas toucher.</t>
  </si>
  <si>
    <r>
      <rPr>
        <b/>
        <sz val="12"/>
        <color theme="1"/>
        <rFont val="Calibri"/>
        <family val="2"/>
      </rPr>
      <t>É</t>
    </r>
    <r>
      <rPr>
        <b/>
        <sz val="12"/>
        <color theme="1"/>
        <rFont val="Calibri"/>
        <family val="2"/>
      </rPr>
      <t>TAPES DE TOURNAGE</t>
    </r>
  </si>
  <si>
    <r>
      <rPr>
        <b/>
        <sz val="12"/>
        <color theme="1"/>
        <rFont val="Calibri"/>
        <family val="2"/>
      </rPr>
      <t>R</t>
    </r>
    <r>
      <rPr>
        <b/>
        <sz val="12"/>
        <color theme="1"/>
        <rFont val="Calibri"/>
        <family val="2"/>
      </rPr>
      <t>ÉFÉ</t>
    </r>
    <r>
      <rPr>
        <b/>
        <sz val="12"/>
        <color theme="1"/>
        <rFont val="Calibri"/>
        <family val="2"/>
      </rPr>
      <t>RENCE COMPTABLE</t>
    </r>
  </si>
  <si>
    <r>
      <rPr>
        <b/>
        <sz val="12"/>
        <color theme="1"/>
        <rFont val="Calibri"/>
        <family val="2"/>
      </rPr>
      <t>PERSONNE CONCERN</t>
    </r>
    <r>
      <rPr>
        <b/>
        <sz val="12"/>
        <color theme="1"/>
        <rFont val="Calibri"/>
        <family val="2"/>
      </rPr>
      <t>É</t>
    </r>
    <r>
      <rPr>
        <b/>
        <sz val="12"/>
        <color theme="1"/>
        <rFont val="Calibri"/>
        <family val="2"/>
      </rPr>
      <t>E</t>
    </r>
  </si>
  <si>
    <r>
      <rPr>
        <b/>
        <sz val="12"/>
        <color theme="1"/>
        <rFont val="Calibri"/>
        <family val="2"/>
      </rPr>
      <t>TYPE D'H</t>
    </r>
    <r>
      <rPr>
        <b/>
        <sz val="12"/>
        <color theme="1"/>
        <rFont val="Calibri"/>
        <family val="2"/>
      </rPr>
      <t>É</t>
    </r>
    <r>
      <rPr>
        <b/>
        <sz val="12"/>
        <color theme="1"/>
        <rFont val="Calibri"/>
        <family val="2"/>
      </rPr>
      <t>BERGEMENT</t>
    </r>
  </si>
  <si>
    <t>NB DE PERSONNES</t>
  </si>
  <si>
    <t>NB TOTAL DE NUITS</t>
  </si>
  <si>
    <t>3*</t>
  </si>
  <si>
    <t>Moyen</t>
  </si>
  <si>
    <t>4*</t>
  </si>
  <si>
    <r>
      <rPr>
        <b/>
        <sz val="20"/>
        <color theme="1"/>
        <rFont val="Calibri"/>
        <family val="2"/>
      </rPr>
      <t>SYNTH</t>
    </r>
    <r>
      <rPr>
        <b/>
        <sz val="20"/>
        <color theme="1"/>
        <rFont val="Calibri"/>
        <family val="2"/>
      </rPr>
      <t>È</t>
    </r>
    <r>
      <rPr>
        <b/>
        <sz val="20"/>
        <color theme="1"/>
        <rFont val="Calibri"/>
        <family val="2"/>
      </rPr>
      <t>SE GRAPHIQUE</t>
    </r>
  </si>
  <si>
    <t>Finitions</t>
  </si>
  <si>
    <t>2*</t>
  </si>
  <si>
    <t>5*</t>
  </si>
  <si>
    <r>
      <rPr>
        <b/>
        <sz val="20"/>
        <color theme="1"/>
        <rFont val="Calibri"/>
        <family val="2"/>
      </rPr>
      <t>D</t>
    </r>
    <r>
      <rPr>
        <b/>
        <sz val="20"/>
        <color theme="1"/>
        <rFont val="Calibri"/>
        <family val="2"/>
      </rPr>
      <t>É</t>
    </r>
    <r>
      <rPr>
        <b/>
        <sz val="20"/>
        <color theme="1"/>
        <rFont val="Calibri"/>
        <family val="2"/>
      </rPr>
      <t>PLACEMENT DE PERSONNES</t>
    </r>
  </si>
  <si>
    <t>Vous pouvez vous aider du tableau à de celui des données pour pré-établir des distances que vous utiliserez de façon récurrente.</t>
  </si>
  <si>
    <r>
      <rPr>
        <b/>
        <sz val="12"/>
        <color theme="1"/>
        <rFont val="Calibri"/>
        <family val="2"/>
      </rPr>
      <t>R</t>
    </r>
    <r>
      <rPr>
        <b/>
        <sz val="12"/>
        <color theme="1"/>
        <rFont val="Calibri"/>
        <family val="2"/>
      </rPr>
      <t>É</t>
    </r>
    <r>
      <rPr>
        <b/>
        <sz val="12"/>
        <color theme="1"/>
        <rFont val="Calibri"/>
        <family val="2"/>
      </rPr>
      <t>F</t>
    </r>
    <r>
      <rPr>
        <b/>
        <sz val="12"/>
        <color theme="1"/>
        <rFont val="Calibri"/>
        <family val="2"/>
      </rPr>
      <t>É</t>
    </r>
    <r>
      <rPr>
        <b/>
        <sz val="12"/>
        <color theme="1"/>
        <rFont val="Calibri"/>
        <family val="2"/>
      </rPr>
      <t>RENCE COMPTABLE</t>
    </r>
  </si>
  <si>
    <t>DESCRIPTION</t>
  </si>
  <si>
    <t>NB DE KM DU TRAJET ALLER</t>
  </si>
  <si>
    <t>NB DE PASSAGERS</t>
  </si>
  <si>
    <t>NB TOTAL DE KM</t>
  </si>
  <si>
    <t>Calcul pré-établi des distances du projet en km</t>
  </si>
  <si>
    <t>DEPART</t>
  </si>
  <si>
    <t>ARRIVEE</t>
  </si>
  <si>
    <t>Avion</t>
  </si>
  <si>
    <t>PARIS</t>
  </si>
  <si>
    <t>Train</t>
  </si>
  <si>
    <t>Déplacement de groupes - En ville ou agglomérations</t>
  </si>
  <si>
    <t>NB TOTAL DE KM PARCOURUS</t>
  </si>
  <si>
    <r>
      <rPr>
        <b/>
        <sz val="20"/>
        <color theme="1"/>
        <rFont val="Calibri"/>
        <family val="2"/>
      </rPr>
      <t>SYNTH</t>
    </r>
    <r>
      <rPr>
        <b/>
        <sz val="20"/>
        <color theme="1"/>
        <rFont val="Calibri"/>
        <family val="2"/>
      </rPr>
      <t>È</t>
    </r>
    <r>
      <rPr>
        <b/>
        <sz val="20"/>
        <color theme="1"/>
        <rFont val="Calibri"/>
        <family val="2"/>
      </rPr>
      <t>SE GRAPHIQUE</t>
    </r>
  </si>
  <si>
    <t>Finit° &amp; PP</t>
  </si>
  <si>
    <t>Route</t>
  </si>
  <si>
    <t>Air</t>
  </si>
  <si>
    <t>Jet Privé</t>
  </si>
  <si>
    <t>Hélicoptère</t>
  </si>
  <si>
    <t>Ferroviaire</t>
  </si>
  <si>
    <t>TER</t>
  </si>
  <si>
    <t>Voilier</t>
  </si>
  <si>
    <t>Mer</t>
  </si>
  <si>
    <t>Zodiac</t>
  </si>
  <si>
    <t>Yacht</t>
  </si>
  <si>
    <t>Ferry</t>
  </si>
  <si>
    <t>Multi-modal</t>
  </si>
  <si>
    <t>Déplacement de groupes - Hors agglo</t>
  </si>
  <si>
    <t>Méthodologie : Estimation impact CO2</t>
  </si>
  <si>
    <t>Carné rouge :</t>
  </si>
  <si>
    <t>nombre de repas x 6,3 KgEqCO2</t>
  </si>
  <si>
    <t>(bœuf, veau, agneau, mouton)</t>
  </si>
  <si>
    <t>Carné blanc ou poisson</t>
  </si>
  <si>
    <t>nombre de repas x 1,6 KgEqCO2</t>
  </si>
  <si>
    <t>(poulet, dinde, canard, poissons, fruits de mer)</t>
  </si>
  <si>
    <t>Végétarien / Végétalien / Vegan :</t>
  </si>
  <si>
    <t>nombre de repas x 0,51 KgEqCO2</t>
  </si>
  <si>
    <t>(végétaux, légumes, légumineuses,...)</t>
  </si>
  <si>
    <t>Données entrées dans le Carbon Clap</t>
  </si>
  <si>
    <t>CANTINE, RESTAURANT
OU AUTRE</t>
  </si>
  <si>
    <t>DATE
(JJ/MM/AAAA)
OU SEMAINE (N°)</t>
  </si>
  <si>
    <t>REPAS MOYEN</t>
  </si>
  <si>
    <t>IMPACT
KgEqCO2</t>
  </si>
  <si>
    <t>CARNE ROUGE</t>
  </si>
  <si>
    <t>CARNE BLANC
OU POISSON</t>
  </si>
  <si>
    <t>VEGETARIEN
VEGETALIEN
VEGAN</t>
  </si>
  <si>
    <t>Restaurant</t>
  </si>
  <si>
    <t>Cantine</t>
  </si>
  <si>
    <t>Autre</t>
  </si>
  <si>
    <t>TOTAUX</t>
  </si>
  <si>
    <t>CARBON'CLAP &amp; BILANS ECO-PROD</t>
  </si>
  <si>
    <r>
      <rPr>
        <b/>
        <sz val="20"/>
        <color theme="1"/>
        <rFont val="Calibri"/>
        <family val="2"/>
      </rPr>
      <t>SYNTH</t>
    </r>
    <r>
      <rPr>
        <b/>
        <sz val="20"/>
        <color theme="1"/>
        <rFont val="Calibri"/>
        <family val="2"/>
      </rPr>
      <t>È</t>
    </r>
    <r>
      <rPr>
        <b/>
        <sz val="20"/>
        <color theme="1"/>
        <rFont val="Calibri"/>
        <family val="2"/>
      </rPr>
      <t>SE GRAPHIQUE</t>
    </r>
  </si>
  <si>
    <t>Viande rouge</t>
  </si>
  <si>
    <t xml:space="preserve">Viande blanche ou poisson </t>
  </si>
  <si>
    <t xml:space="preserve">Repas végétariens </t>
  </si>
  <si>
    <t xml:space="preserve">Repas moyens </t>
  </si>
  <si>
    <t>TOTAL
REPAS</t>
  </si>
  <si>
    <t>Total Repas</t>
  </si>
  <si>
    <t>Bilan Carbone Repas</t>
  </si>
  <si>
    <t>Bilan Carbone Sans Repas Végé</t>
  </si>
  <si>
    <t>KgEqCO2 non générés</t>
  </si>
  <si>
    <r>
      <rPr>
        <b/>
        <sz val="20"/>
        <color theme="1"/>
        <rFont val="Calibri"/>
        <family val="2"/>
      </rPr>
      <t>D</t>
    </r>
    <r>
      <rPr>
        <b/>
        <sz val="20"/>
        <color theme="1"/>
        <rFont val="Calibri"/>
        <family val="2"/>
      </rPr>
      <t>É</t>
    </r>
    <r>
      <rPr>
        <b/>
        <sz val="20"/>
        <color theme="1"/>
        <rFont val="Calibri"/>
        <family val="2"/>
      </rPr>
      <t>CHETS</t>
    </r>
  </si>
  <si>
    <t>Toutes les quantités de déchets doivent être en kg. Pour vous aider dans les conversions, vous avez, sur votre droite, un tableau prévu à cet effet.</t>
  </si>
  <si>
    <t>Annexe - Listing des volumes de déchets et aide à la conversion en kg</t>
  </si>
  <si>
    <r>
      <rPr>
        <b/>
        <sz val="12"/>
        <color theme="1"/>
        <rFont val="Calibri"/>
        <family val="2"/>
      </rPr>
      <t xml:space="preserve">PROVENANCE DES MESURES
</t>
    </r>
    <r>
      <rPr>
        <b/>
        <sz val="10"/>
        <color theme="1"/>
        <rFont val="Calibri"/>
        <family val="2"/>
      </rPr>
      <t>(calcul direct, F2D, LTB, ...)</t>
    </r>
  </si>
  <si>
    <t>DESCRIPTIFS DECHETS</t>
  </si>
  <si>
    <r>
      <rPr>
        <b/>
        <sz val="12"/>
        <color theme="1"/>
        <rFont val="Calibri"/>
        <family val="2"/>
      </rPr>
      <t xml:space="preserve">PERIODE
</t>
    </r>
    <r>
      <rPr>
        <b/>
        <sz val="10"/>
        <color theme="1"/>
        <rFont val="Calibri"/>
        <family val="2"/>
      </rPr>
      <t xml:space="preserve"> (date exacte,
semaine ou mois)</t>
    </r>
  </si>
  <si>
    <t>TYPE DE DECHET</t>
  </si>
  <si>
    <t>QUANTITE
en kg</t>
  </si>
  <si>
    <t>Provenance des mesures 
(calcul direct, F2D, LTB, ...)</t>
  </si>
  <si>
    <t>Description déchets</t>
  </si>
  <si>
    <t>Période
(date exacte, semaine ou mois)</t>
  </si>
  <si>
    <t>Type de déchet</t>
  </si>
  <si>
    <r>
      <rPr>
        <b/>
        <i/>
        <sz val="12"/>
        <color theme="1"/>
        <rFont val="Calibri"/>
        <family val="2"/>
      </rPr>
      <t>Volume
(litres, m</t>
    </r>
    <r>
      <rPr>
        <b/>
        <i/>
        <vertAlign val="superscript"/>
        <sz val="12"/>
        <color theme="1"/>
        <rFont val="Calibri"/>
        <family val="2"/>
      </rPr>
      <t>3</t>
    </r>
    <r>
      <rPr>
        <b/>
        <i/>
        <sz val="12"/>
        <color theme="1"/>
        <rFont val="Calibri"/>
        <family val="2"/>
      </rPr>
      <t>...)</t>
    </r>
  </si>
  <si>
    <t xml:space="preserve">Conversion
en kg </t>
  </si>
  <si>
    <t>SEMAINE</t>
  </si>
  <si>
    <t xml:space="preserve">          Liens vers des convertisseurs volume -&gt; kg</t>
  </si>
  <si>
    <t>https://www.123calculus.com/conversion-volume-masse-page-9-60-600.html</t>
  </si>
  <si>
    <t>calcul direct</t>
  </si>
  <si>
    <t>Recyclables</t>
  </si>
  <si>
    <t>S1</t>
  </si>
  <si>
    <t>DIB - tout-venants</t>
  </si>
  <si>
    <t>Verre</t>
  </si>
  <si>
    <t>Bois - déco</t>
  </si>
  <si>
    <t>Alimentaires</t>
  </si>
  <si>
    <t>S2</t>
  </si>
  <si>
    <t>Métal - déco</t>
  </si>
  <si>
    <t>Plastiques - déco</t>
  </si>
  <si>
    <t>Déchets spéciaux</t>
  </si>
  <si>
    <t>S3</t>
  </si>
  <si>
    <t>S4</t>
  </si>
  <si>
    <t>total</t>
  </si>
  <si>
    <t>Estimatif déchets</t>
  </si>
  <si>
    <t>5,46 KG</t>
  </si>
  <si>
    <t>Calcul direct eco prod</t>
  </si>
  <si>
    <t xml:space="preserve">TOTAL DIB - Période 1 </t>
  </si>
  <si>
    <t>TOTAL RECYCLAGE - Période 1</t>
  </si>
  <si>
    <t>TOTAL ALIMENTAIRE - Période 1</t>
  </si>
  <si>
    <t>Calcul Direct Ecoprod</t>
  </si>
  <si>
    <r>
      <rPr>
        <b/>
        <sz val="14"/>
        <color theme="1"/>
        <rFont val="Calibri"/>
        <family val="2"/>
      </rPr>
      <t>TOTAL DES D</t>
    </r>
    <r>
      <rPr>
        <b/>
        <sz val="14"/>
        <color theme="1"/>
        <rFont val="Calibri"/>
        <family val="2"/>
      </rPr>
      <t>É</t>
    </r>
    <r>
      <rPr>
        <b/>
        <sz val="14"/>
        <color theme="1"/>
        <rFont val="Calibri"/>
        <family val="2"/>
      </rPr>
      <t>CHETS</t>
    </r>
  </si>
  <si>
    <t>CARBON'CLAP &amp; BILAN ECO-PROD</t>
  </si>
  <si>
    <r>
      <rPr>
        <b/>
        <sz val="20"/>
        <color theme="1"/>
        <rFont val="Calibri"/>
        <family val="2"/>
      </rPr>
      <t>SYNTH</t>
    </r>
    <r>
      <rPr>
        <b/>
        <sz val="20"/>
        <color theme="1"/>
        <rFont val="Calibri"/>
        <family val="2"/>
      </rPr>
      <t>È</t>
    </r>
    <r>
      <rPr>
        <b/>
        <sz val="20"/>
        <color theme="1"/>
        <rFont val="Calibri"/>
        <family val="2"/>
      </rPr>
      <t>SE GRAPHIQUE</t>
    </r>
  </si>
  <si>
    <t>Finition</t>
  </si>
  <si>
    <t>Pour compléter le type d'activité, vous pouvez vous référer aux listings établis à droite du tableau de collecte de données.</t>
  </si>
  <si>
    <t>Détail complet des gabarits:</t>
  </si>
  <si>
    <t>https://ecoprod.com/moyens-techniques-de-production/</t>
  </si>
  <si>
    <t>Matériel Caméra :</t>
  </si>
  <si>
    <r>
      <rPr>
        <b/>
        <sz val="12"/>
        <color theme="1"/>
        <rFont val="Calibri"/>
        <family val="2"/>
      </rPr>
      <t>R</t>
    </r>
    <r>
      <rPr>
        <b/>
        <sz val="12"/>
        <color theme="1"/>
        <rFont val="Calibri"/>
        <family val="2"/>
      </rPr>
      <t>É</t>
    </r>
    <r>
      <rPr>
        <b/>
        <sz val="12"/>
        <color theme="1"/>
        <rFont val="Calibri"/>
        <family val="2"/>
      </rPr>
      <t>F</t>
    </r>
    <r>
      <rPr>
        <b/>
        <sz val="12"/>
        <color theme="1"/>
        <rFont val="Calibri"/>
        <family val="2"/>
      </rPr>
      <t>É</t>
    </r>
    <r>
      <rPr>
        <b/>
        <sz val="12"/>
        <color theme="1"/>
        <rFont val="Calibri"/>
        <family val="2"/>
      </rPr>
      <t>RENCE COMPTABLE</t>
    </r>
  </si>
  <si>
    <r>
      <rPr>
        <b/>
        <sz val="12"/>
        <color theme="1"/>
        <rFont val="Calibri"/>
        <family val="2"/>
      </rPr>
      <t>TYPE D'ACTIVIT</t>
    </r>
    <r>
      <rPr>
        <b/>
        <sz val="12"/>
        <color theme="1"/>
        <rFont val="Calibri"/>
        <family val="2"/>
      </rPr>
      <t>É</t>
    </r>
  </si>
  <si>
    <t>TAILLE DU DISPOSITIF TECHNIQUE</t>
  </si>
  <si>
    <r>
      <rPr>
        <b/>
        <sz val="12"/>
        <color theme="1"/>
        <rFont val="Calibri"/>
        <family val="2"/>
      </rPr>
      <t>NB DE JOURS D'UTILISATION DU MAT</t>
    </r>
    <r>
      <rPr>
        <b/>
        <sz val="12"/>
        <color theme="1"/>
        <rFont val="Calibri"/>
        <family val="2"/>
      </rPr>
      <t>É</t>
    </r>
    <r>
      <rPr>
        <b/>
        <sz val="12"/>
        <color theme="1"/>
        <rFont val="Calibri"/>
        <family val="2"/>
      </rPr>
      <t>RIEL</t>
    </r>
  </si>
  <si>
    <t>Matériel Prise de vue</t>
  </si>
  <si>
    <t>Petite Unité</t>
  </si>
  <si>
    <t>Matériel Machinerie</t>
  </si>
  <si>
    <t>Moyenne unité</t>
  </si>
  <si>
    <t>Matériel Eclairage</t>
  </si>
  <si>
    <t>Grande unité</t>
  </si>
  <si>
    <t>Matériel Son</t>
  </si>
  <si>
    <t>Matériel d'éclairage</t>
  </si>
  <si>
    <t>Total Matériel Prise de vue</t>
  </si>
  <si>
    <t>Total Matériel Machinerie</t>
  </si>
  <si>
    <t>Total Matériel Eclairage</t>
  </si>
  <si>
    <t>Total Matériel Son</t>
  </si>
  <si>
    <t>Total jours d'utilisation</t>
  </si>
  <si>
    <r>
      <rPr>
        <b/>
        <sz val="20"/>
        <color theme="1"/>
        <rFont val="Calibri"/>
        <family val="2"/>
      </rPr>
      <t>SYNTH</t>
    </r>
    <r>
      <rPr>
        <b/>
        <sz val="20"/>
        <color theme="1"/>
        <rFont val="Calibri"/>
        <family val="2"/>
      </rPr>
      <t>È</t>
    </r>
    <r>
      <rPr>
        <b/>
        <sz val="20"/>
        <color theme="1"/>
        <rFont val="Calibri"/>
        <family val="2"/>
      </rPr>
      <t>SE GRAPHIQUE</t>
    </r>
  </si>
  <si>
    <t>MOYENS SPÉCIAUX DE PRISE DE VUE</t>
  </si>
  <si>
    <t>TYPE DE MOYEN SPÉCIAL
DE PRISE DE VUE</t>
  </si>
  <si>
    <t>MINUTES D'UTILISATION</t>
  </si>
  <si>
    <t xml:space="preserve"> - AIR -</t>
  </si>
  <si>
    <t>Avion ULM classe 2</t>
  </si>
  <si>
    <t>Avion ULM classe 3</t>
  </si>
  <si>
    <t>Drone</t>
  </si>
  <si>
    <t>TOTAL MINUTES DE VOL</t>
  </si>
  <si>
    <t>HELICOPTÈRE</t>
  </si>
  <si>
    <t>ULM CLASSE 2</t>
  </si>
  <si>
    <t>ULM CLASSE 3</t>
  </si>
  <si>
    <t>DRONE</t>
  </si>
  <si>
    <t xml:space="preserve"> - TERRE -</t>
  </si>
  <si>
    <t>Voiture Essence</t>
  </si>
  <si>
    <t>Voiture Diesel</t>
  </si>
  <si>
    <t>Voiture Electrique</t>
  </si>
  <si>
    <t>Voiture Hybride</t>
  </si>
  <si>
    <t>Moto</t>
  </si>
  <si>
    <t>TOTAL MINUTES DE ROUTE</t>
  </si>
  <si>
    <t>VOITURE ESSENCE</t>
  </si>
  <si>
    <t>VOITURE DIESEL</t>
  </si>
  <si>
    <t>VOITURE ELECTRIQUE</t>
  </si>
  <si>
    <t>VOITURE HYBRIDE</t>
  </si>
  <si>
    <t>MOTO</t>
  </si>
  <si>
    <t xml:space="preserve"> - MER -</t>
  </si>
  <si>
    <t>Bateau Hors-bord</t>
  </si>
  <si>
    <t>TOTAL MINUTES DE NAVIGATION</t>
  </si>
  <si>
    <t>BATEAU HORS-BORD</t>
  </si>
  <si>
    <t xml:space="preserve">CARS DE PRODUCTION &amp; CAR-RÉGIES </t>
  </si>
  <si>
    <t>TYPE DE DISPOSITIF TECHNIQUE</t>
  </si>
  <si>
    <t>NOMBRE JOURS D'UTILISATION</t>
  </si>
  <si>
    <t>NOMBRE DE KM</t>
  </si>
  <si>
    <t>Régie de production fixe</t>
  </si>
  <si>
    <t>Régie mobile (régie Fly)</t>
  </si>
  <si>
    <t>Car-régie (semi-remorque)</t>
  </si>
  <si>
    <t>Car d'accompagnement (semi-remorque)</t>
  </si>
  <si>
    <t>Car de transmission</t>
  </si>
  <si>
    <t>RÉGIE DE PRODUCTION FIXE</t>
  </si>
  <si>
    <t>RÉGIE MOBILE (RÉGIE FLY)</t>
  </si>
  <si>
    <t>CAR-RÉGIE (SEMI-REMORQUE)</t>
  </si>
  <si>
    <t>CAR D'ACCOMPAGNEMENT (SEMI-REMORQUE)</t>
  </si>
  <si>
    <t>CAR DE TRANSMISSION</t>
  </si>
  <si>
    <r>
      <rPr>
        <b/>
        <sz val="20"/>
        <color theme="1"/>
        <rFont val="Calibri"/>
        <family val="2"/>
      </rPr>
      <t>SYNTH</t>
    </r>
    <r>
      <rPr>
        <b/>
        <sz val="20"/>
        <color theme="1"/>
        <rFont val="Calibri"/>
        <family val="2"/>
      </rPr>
      <t>È</t>
    </r>
    <r>
      <rPr>
        <b/>
        <sz val="20"/>
        <color theme="1"/>
        <rFont val="Calibri"/>
        <family val="2"/>
      </rPr>
      <t>SE GRAPHIQUE</t>
    </r>
  </si>
  <si>
    <t>VEHICULES TECHNIQUE</t>
  </si>
  <si>
    <t>CAR LOGES</t>
  </si>
  <si>
    <t>Nb de kms des CAR LOGES</t>
  </si>
  <si>
    <t>CAMION CANTINE</t>
  </si>
  <si>
    <t>Nb de kms des CAMION CANTINE</t>
  </si>
  <si>
    <t>CAMION GROUPE</t>
  </si>
  <si>
    <t>Nb de kms des CAMION GROUPE</t>
  </si>
  <si>
    <t>Nb de kms des RÉGIE DE PRODUCTION FIXE</t>
  </si>
  <si>
    <t>Nb de kms RÉGIE MOBILE (RÉGIE FLY)</t>
  </si>
  <si>
    <t>Nb de kms des CAR-RÉGIE (SEMI-REMORQUE)</t>
  </si>
  <si>
    <t>Nb de kms des CAR D'ACCOMPAGNEMENT (SEMI-REMORQUE)</t>
  </si>
  <si>
    <t>PLUS UN TABLEAU COMME CI-DESSOUS</t>
  </si>
  <si>
    <t>AVEC CAMENBERT OU GRAPHIQUES</t>
  </si>
  <si>
    <t>Pré-prod</t>
  </si>
  <si>
    <t>tournage</t>
  </si>
  <si>
    <t>post-production</t>
  </si>
  <si>
    <t>REFERENCE COMPTABLE</t>
  </si>
  <si>
    <t>TYPE DE LOGE</t>
  </si>
  <si>
    <t>ALIMENTATION ENERGETIQUE</t>
  </si>
  <si>
    <t>Petite Loge</t>
  </si>
  <si>
    <t>Energie du lieu de tournage</t>
  </si>
  <si>
    <t>Moyenne loge</t>
  </si>
  <si>
    <t>Grande loge</t>
  </si>
  <si>
    <t>Petit camion cantine</t>
  </si>
  <si>
    <t>Groupe électrogène</t>
  </si>
  <si>
    <t>Moyen camion cantine</t>
  </si>
  <si>
    <t>Grand camion cantine</t>
  </si>
  <si>
    <t>Petite loge</t>
  </si>
  <si>
    <t>Synthèse Cantines &amp; Loges</t>
  </si>
  <si>
    <t>Petit Camion Cantine</t>
  </si>
  <si>
    <t>Moyen Camion Cantine</t>
  </si>
  <si>
    <t>Grand Camion Cantine</t>
  </si>
  <si>
    <t>Moyenne Loge</t>
  </si>
  <si>
    <t>Grande Loge</t>
  </si>
  <si>
    <r>
      <rPr>
        <b/>
        <sz val="20"/>
        <color theme="1"/>
        <rFont val="Calibri"/>
        <family val="2"/>
      </rPr>
      <t xml:space="preserve">GROUPES </t>
    </r>
    <r>
      <rPr>
        <b/>
        <sz val="20"/>
        <color theme="1"/>
        <rFont val="Calibri"/>
        <family val="2"/>
      </rPr>
      <t>É</t>
    </r>
    <r>
      <rPr>
        <b/>
        <sz val="20"/>
        <color theme="1"/>
        <rFont val="Calibri"/>
        <family val="2"/>
      </rPr>
      <t>LECTROG</t>
    </r>
    <r>
      <rPr>
        <b/>
        <sz val="20"/>
        <color theme="1"/>
        <rFont val="Calibri"/>
        <family val="2"/>
      </rPr>
      <t>È</t>
    </r>
    <r>
      <rPr>
        <b/>
        <sz val="20"/>
        <color theme="1"/>
        <rFont val="Calibri"/>
        <family val="2"/>
      </rPr>
      <t>NES</t>
    </r>
  </si>
  <si>
    <t>Matrice de dénomination - Carbon'Clap
TYPE_GROUPE_PUISSANCE_UTILITE</t>
  </si>
  <si>
    <t xml:space="preserve"> </t>
  </si>
  <si>
    <t xml:space="preserve">La quantité à renseigner pour l'alimentation énergétique se fait en litres. </t>
  </si>
  <si>
    <t>Pour vous aider, voici un lien vers un convertisseur de volumes :</t>
  </si>
  <si>
    <t>TYPE DE GROUPE</t>
  </si>
  <si>
    <t>PUISSANCE</t>
  </si>
  <si>
    <t>NB DE LITRES UTILISES</t>
  </si>
  <si>
    <t>Camion Groupe</t>
  </si>
  <si>
    <t>Diesel / Fioul</t>
  </si>
  <si>
    <t>Générateur à batterie 10kWh</t>
  </si>
  <si>
    <t>Electrique</t>
  </si>
  <si>
    <t>Groupe mobile</t>
  </si>
  <si>
    <t>Hydrogène</t>
  </si>
  <si>
    <t>Petit groupe de chantier</t>
  </si>
  <si>
    <t>Essence SP</t>
  </si>
  <si>
    <t>Biodiesiel HVO 100</t>
  </si>
  <si>
    <t>Synthèse Groupes - Litres / type d'énergies</t>
  </si>
  <si>
    <t>électrique</t>
  </si>
  <si>
    <t>Synthèse Groupes - Nb de groupes / type de groupes</t>
  </si>
  <si>
    <t>Camion groupe</t>
  </si>
  <si>
    <t>TOTAL GROUPES</t>
  </si>
  <si>
    <t>DATA NUMERIQUE &amp; POST-PRODUCTION</t>
  </si>
  <si>
    <t>DATA NUMERIQUE &amp; STOCKAGE DES DONNEES</t>
  </si>
  <si>
    <t>PRODUIT</t>
  </si>
  <si>
    <t>ACHETEUR</t>
  </si>
  <si>
    <t>ETAT</t>
  </si>
  <si>
    <t>TYPE DE STOCKAGE</t>
  </si>
  <si>
    <t>CAPACITE DE STOCKAGE en To</t>
  </si>
  <si>
    <t>Neuf</t>
  </si>
  <si>
    <t>LTO</t>
  </si>
  <si>
    <t>Reconditionné</t>
  </si>
  <si>
    <t>Cloud</t>
  </si>
  <si>
    <t>HDD</t>
  </si>
  <si>
    <t>TOTAL LTO</t>
  </si>
  <si>
    <t>TOTAL HDD</t>
  </si>
  <si>
    <t>TOTAL CLOUD</t>
  </si>
  <si>
    <t>NOM DE L'ACTIVITE</t>
  </si>
  <si>
    <t>TYPE D'ACTIVITE</t>
  </si>
  <si>
    <t>LIEU DE L'ACTIVITE</t>
  </si>
  <si>
    <t>MONTANT DE LA PRESTATION</t>
  </si>
  <si>
    <t>NB DE JOURS D'ACTIVITE DE LA PRESTATION</t>
  </si>
  <si>
    <t>NB DE JOURS D'ACTIVITE DES INTERVENANTS</t>
  </si>
  <si>
    <t>RENDUS ET CALCULS INFORMATIQUES</t>
  </si>
  <si>
    <t>Montage vidéo</t>
  </si>
  <si>
    <t>Belgique</t>
  </si>
  <si>
    <t>Petit Studio</t>
  </si>
  <si>
    <t>Montage et mixage son</t>
  </si>
  <si>
    <t>Angola</t>
  </si>
  <si>
    <t xml:space="preserve">Moyen Studio </t>
  </si>
  <si>
    <t>VFX et infographie</t>
  </si>
  <si>
    <t>Macédoine</t>
  </si>
  <si>
    <t>Grand Studio</t>
  </si>
  <si>
    <t>Etalonnage</t>
  </si>
  <si>
    <t>Zambie</t>
  </si>
  <si>
    <t>Laboratoire</t>
  </si>
  <si>
    <t>TOTAL Montage Vidéo</t>
  </si>
  <si>
    <t>TOTAL Montage et mixage son</t>
  </si>
  <si>
    <t>TOTAL VFX et Infographie</t>
  </si>
  <si>
    <t>TOTAL Etalonnage</t>
  </si>
  <si>
    <t>TOTAL Laboratoire</t>
  </si>
  <si>
    <t>Liste pays</t>
  </si>
  <si>
    <t xml:space="preserve">Type de lieux </t>
  </si>
  <si>
    <t>Bâtiments de + de 30 ans</t>
  </si>
  <si>
    <t>Type de transports</t>
  </si>
  <si>
    <t>Afghanistan</t>
  </si>
  <si>
    <t>Type de transports utilitaires et fret</t>
  </si>
  <si>
    <t>Afrique du Sud</t>
  </si>
  <si>
    <t>Fret | Utilitaire (camionnette)</t>
  </si>
  <si>
    <t>Albanie</t>
  </si>
  <si>
    <t>Fret | Camion &lt; 7t</t>
  </si>
  <si>
    <t>Algérie</t>
  </si>
  <si>
    <t>Fret | Camion &gt; 7t</t>
  </si>
  <si>
    <t>Allemagne</t>
  </si>
  <si>
    <t>Fret | Avion</t>
  </si>
  <si>
    <t>Fret | Train</t>
  </si>
  <si>
    <t>Antigua-et-Barbuda</t>
  </si>
  <si>
    <t>Hébergements</t>
  </si>
  <si>
    <t>Fret | Bateau porte-conteneur</t>
  </si>
  <si>
    <t>Arabie Saoudite</t>
  </si>
  <si>
    <t>Argentine</t>
  </si>
  <si>
    <t>Arménie</t>
  </si>
  <si>
    <t>Types de déchets</t>
  </si>
  <si>
    <t>Aruba</t>
  </si>
  <si>
    <t>Australie</t>
  </si>
  <si>
    <t>Autriche</t>
  </si>
  <si>
    <t>Type de chauffage</t>
  </si>
  <si>
    <t>Azerbaïdjan</t>
  </si>
  <si>
    <t>Bahamas</t>
  </si>
  <si>
    <t>Type de transports de personnes</t>
  </si>
  <si>
    <t>Bahreïn</t>
  </si>
  <si>
    <t xml:space="preserve">DATA </t>
  </si>
  <si>
    <t>Bangladesh</t>
  </si>
  <si>
    <t>Barbade</t>
  </si>
  <si>
    <t>Belize</t>
  </si>
  <si>
    <t>Type d'équipement</t>
  </si>
  <si>
    <t>Bénin</t>
  </si>
  <si>
    <t>Bhoutan</t>
  </si>
  <si>
    <t>Biélorussie</t>
  </si>
  <si>
    <t>Etat</t>
  </si>
  <si>
    <t>Bolivie</t>
  </si>
  <si>
    <t>Bosnie-Herzégovine</t>
  </si>
  <si>
    <t>Type activité moyens techniques</t>
  </si>
  <si>
    <t>Botswana</t>
  </si>
  <si>
    <t>Brésil</t>
  </si>
  <si>
    <t>Brunei</t>
  </si>
  <si>
    <t>Bulgarie</t>
  </si>
  <si>
    <t>Unité mesure chauffage</t>
  </si>
  <si>
    <t>Burkina Faso</t>
  </si>
  <si>
    <t>Type de transports VU</t>
  </si>
  <si>
    <t>Burundi</t>
  </si>
  <si>
    <t>Données entrées dans</t>
  </si>
  <si>
    <r>
      <rPr>
        <sz val="12"/>
        <color theme="1"/>
        <rFont val="Calibri"/>
        <family val="2"/>
      </rPr>
      <t>m</t>
    </r>
    <r>
      <rPr>
        <vertAlign val="superscript"/>
        <sz val="12"/>
        <color theme="1"/>
        <rFont val="Calibri"/>
        <family val="2"/>
      </rPr>
      <t>3</t>
    </r>
  </si>
  <si>
    <t>Cambodge</t>
  </si>
  <si>
    <t>Carbon Clap</t>
  </si>
  <si>
    <t>l</t>
  </si>
  <si>
    <t>Taille Dispositif technique</t>
  </si>
  <si>
    <t>Cameroun</t>
  </si>
  <si>
    <t>Canada</t>
  </si>
  <si>
    <t>Cap-Vert</t>
  </si>
  <si>
    <t>Chili</t>
  </si>
  <si>
    <t>Taille dispositif technique</t>
  </si>
  <si>
    <t>Chine</t>
  </si>
  <si>
    <t>Chypre</t>
  </si>
  <si>
    <t>Moyens spéciaux prise de vue</t>
  </si>
  <si>
    <t>Colombie</t>
  </si>
  <si>
    <t>Comores</t>
  </si>
  <si>
    <t>Congo</t>
  </si>
  <si>
    <t>Corée du Nord</t>
  </si>
  <si>
    <t>Corée du Sud</t>
  </si>
  <si>
    <t>Type d'activité</t>
  </si>
  <si>
    <t>Corse (France)</t>
  </si>
  <si>
    <t>Etapes de production</t>
  </si>
  <si>
    <t>Costa Rica</t>
  </si>
  <si>
    <t>Côte d’Ivoire</t>
  </si>
  <si>
    <t>Croatie</t>
  </si>
  <si>
    <t>Cuba</t>
  </si>
  <si>
    <t>Danemark</t>
  </si>
  <si>
    <t>Djibouti</t>
  </si>
  <si>
    <t>Type de CAR RÉGIE</t>
  </si>
  <si>
    <t>Dominique</t>
  </si>
  <si>
    <t>Égypte</t>
  </si>
  <si>
    <t>Lieux de repas</t>
  </si>
  <si>
    <t>Unité mesure déchets</t>
  </si>
  <si>
    <t>El Salvador</t>
  </si>
  <si>
    <t>kg</t>
  </si>
  <si>
    <t>Émirats arabes unis</t>
  </si>
  <si>
    <r>
      <rPr>
        <sz val="12"/>
        <color theme="1"/>
        <rFont val="Calibri"/>
        <family val="2"/>
      </rPr>
      <t>m</t>
    </r>
    <r>
      <rPr>
        <vertAlign val="superscript"/>
        <sz val="12"/>
        <color theme="1"/>
        <rFont val="Calibri"/>
        <family val="2"/>
      </rPr>
      <t>3</t>
    </r>
  </si>
  <si>
    <t>Équateur</t>
  </si>
  <si>
    <t>Érythrée</t>
  </si>
  <si>
    <t>Espagne</t>
  </si>
  <si>
    <t>Estonie</t>
  </si>
  <si>
    <t>Eswatini</t>
  </si>
  <si>
    <t>Energie</t>
  </si>
  <si>
    <t>Type de groupes électro</t>
  </si>
  <si>
    <t>États-Unis (USA)</t>
  </si>
  <si>
    <t>Éthiopie</t>
  </si>
  <si>
    <t>Fidji</t>
  </si>
  <si>
    <t>Hybride</t>
  </si>
  <si>
    <t>Finlande</t>
  </si>
  <si>
    <t>Gabon</t>
  </si>
  <si>
    <t>Gambie</t>
  </si>
  <si>
    <t>Géorgie</t>
  </si>
  <si>
    <t>Type de véhicules techniques</t>
  </si>
  <si>
    <t>Alimentation énergétique gpe électro</t>
  </si>
  <si>
    <t>Ghana</t>
  </si>
  <si>
    <t>Diesel/Fioul</t>
  </si>
  <si>
    <t>Grande Bretagne</t>
  </si>
  <si>
    <t>Grèce</t>
  </si>
  <si>
    <t>Grenade</t>
  </si>
  <si>
    <t>Car loges</t>
  </si>
  <si>
    <t>Groenland</t>
  </si>
  <si>
    <t>Camion cantine</t>
  </si>
  <si>
    <t>Guadeloupe (France Outre-Mer)</t>
  </si>
  <si>
    <t>Guam</t>
  </si>
  <si>
    <t>Guatemala</t>
  </si>
  <si>
    <t>Guinée</t>
  </si>
  <si>
    <t>Guinée-Bissau</t>
  </si>
  <si>
    <t>Type de loges</t>
  </si>
  <si>
    <t>Guinée équatoriale</t>
  </si>
  <si>
    <t>Guyana</t>
  </si>
  <si>
    <t>Guyane (France Outre-Mer)</t>
  </si>
  <si>
    <t>Haïti</t>
  </si>
  <si>
    <t>Honduras</t>
  </si>
  <si>
    <t>Hong Kong</t>
  </si>
  <si>
    <t>Hongrie</t>
  </si>
  <si>
    <t xml:space="preserve">Avion ULM classe </t>
  </si>
  <si>
    <t>Îles Caïman</t>
  </si>
  <si>
    <t>Îles Cook</t>
  </si>
  <si>
    <t>Îles Fakland</t>
  </si>
  <si>
    <t>Alimentation énergétique loge</t>
  </si>
  <si>
    <t>Îles Féroé</t>
  </si>
  <si>
    <t>Îles Salomon</t>
  </si>
  <si>
    <t>Moto &lt;250cc</t>
  </si>
  <si>
    <t>Îles Turks et Caïques</t>
  </si>
  <si>
    <t>Îles Vierges Britanniques</t>
  </si>
  <si>
    <t>Îles Vierges Etats-Unis</t>
  </si>
  <si>
    <t>Inde</t>
  </si>
  <si>
    <t>Bateau hors-bord</t>
  </si>
  <si>
    <t>Indonésie</t>
  </si>
  <si>
    <t>Irak</t>
  </si>
  <si>
    <t>Iran</t>
  </si>
  <si>
    <t>Irlande</t>
  </si>
  <si>
    <t>Islande</t>
  </si>
  <si>
    <t>Israël</t>
  </si>
  <si>
    <t>Italie</t>
  </si>
  <si>
    <t>Jamaïque</t>
  </si>
  <si>
    <t>Japon</t>
  </si>
  <si>
    <t>Jordanie</t>
  </si>
  <si>
    <t>Kazakhstan</t>
  </si>
  <si>
    <t>Kenya</t>
  </si>
  <si>
    <t>Kirghizistan</t>
  </si>
  <si>
    <t>Kiribati</t>
  </si>
  <si>
    <t>Kosovo</t>
  </si>
  <si>
    <t>Koweït</t>
  </si>
  <si>
    <t>Laos</t>
  </si>
  <si>
    <t>Lesotho</t>
  </si>
  <si>
    <t>Lettonie</t>
  </si>
  <si>
    <t>Liban</t>
  </si>
  <si>
    <t>Liberia</t>
  </si>
  <si>
    <t>Libye</t>
  </si>
  <si>
    <t>Lituanie</t>
  </si>
  <si>
    <t>Luxembourg</t>
  </si>
  <si>
    <t>Macao</t>
  </si>
  <si>
    <t>Madagascar</t>
  </si>
  <si>
    <t>Malaisie</t>
  </si>
  <si>
    <t>Malawi</t>
  </si>
  <si>
    <t>Maldives</t>
  </si>
  <si>
    <t>Mali</t>
  </si>
  <si>
    <t>Malte</t>
  </si>
  <si>
    <t>Maroc</t>
  </si>
  <si>
    <t>Martinique (France Outre-Mer)</t>
  </si>
  <si>
    <t>Maurice</t>
  </si>
  <si>
    <t>Mauritanie</t>
  </si>
  <si>
    <t>Mexique</t>
  </si>
  <si>
    <t>Moldavie</t>
  </si>
  <si>
    <t>Mongolie</t>
  </si>
  <si>
    <t>Monténégro</t>
  </si>
  <si>
    <t>Montserrat</t>
  </si>
  <si>
    <t>Mozambique</t>
  </si>
  <si>
    <t>Myanmar</t>
  </si>
  <si>
    <t>Namibie</t>
  </si>
  <si>
    <t>Nauru</t>
  </si>
  <si>
    <t>Népal</t>
  </si>
  <si>
    <t>Nicaragua</t>
  </si>
  <si>
    <t>Niger</t>
  </si>
  <si>
    <t>Nigeria</t>
  </si>
  <si>
    <t>Norvège</t>
  </si>
  <si>
    <t>Nouvelle-Calédonie</t>
  </si>
  <si>
    <t>Nouvelle-Zélande</t>
  </si>
  <si>
    <t>Oman</t>
  </si>
  <si>
    <t>Ouganda</t>
  </si>
  <si>
    <t>Ouzbékistan</t>
  </si>
  <si>
    <t>Pakistan</t>
  </si>
  <si>
    <t>Palestine</t>
  </si>
  <si>
    <t>Panama</t>
  </si>
  <si>
    <t>Papouasie-Nouvelle-Guinée</t>
  </si>
  <si>
    <t>Paraguay</t>
  </si>
  <si>
    <t>Pays-Bas</t>
  </si>
  <si>
    <t>Pérou</t>
  </si>
  <si>
    <t>Philippines</t>
  </si>
  <si>
    <t>Pologne</t>
  </si>
  <si>
    <t>Polynésie Française (hors Tahiti)</t>
  </si>
  <si>
    <t>Portugal</t>
  </si>
  <si>
    <t>Puerto Rico</t>
  </si>
  <si>
    <t>Qatar</t>
  </si>
  <si>
    <t>République centrafricaine</t>
  </si>
  <si>
    <t>République démocratique du Congo</t>
  </si>
  <si>
    <t>République Dominicaine</t>
  </si>
  <si>
    <t>Réunion (France Outre-Mer)</t>
  </si>
  <si>
    <t>Roumanie</t>
  </si>
  <si>
    <t>Russie</t>
  </si>
  <si>
    <t>Rwanda</t>
  </si>
  <si>
    <t>Saint-Barthélémie (France Outre-Mer)</t>
  </si>
  <si>
    <t>Sainte-Lucie</t>
  </si>
  <si>
    <t>Saint-Kitts-et-Nevis</t>
  </si>
  <si>
    <t>Saint-Martin (France Outre-Mer)</t>
  </si>
  <si>
    <t>Saint-Pierre et Miquelon (France Outre-Mer)</t>
  </si>
  <si>
    <t>Saint-Vincent-et-les-Grenadines</t>
  </si>
  <si>
    <t>Samoa</t>
  </si>
  <si>
    <t>Samoa américaine</t>
  </si>
  <si>
    <t>São Tomé-et-Principe</t>
  </si>
  <si>
    <t>Sénégal</t>
  </si>
  <si>
    <t>Serbie</t>
  </si>
  <si>
    <t>Seychelles</t>
  </si>
  <si>
    <t>Sierra Leone</t>
  </si>
  <si>
    <t>Singapour</t>
  </si>
  <si>
    <t>Slovaquie</t>
  </si>
  <si>
    <t>Slovénie</t>
  </si>
  <si>
    <t>Somalie</t>
  </si>
  <si>
    <t>Soudan</t>
  </si>
  <si>
    <t>Soudan du Sud</t>
  </si>
  <si>
    <t>Sri Lanka</t>
  </si>
  <si>
    <t>Suède</t>
  </si>
  <si>
    <t>Suisse</t>
  </si>
  <si>
    <t>Suriname</t>
  </si>
  <si>
    <t>Syrie</t>
  </si>
  <si>
    <t>Tadjikistan</t>
  </si>
  <si>
    <t>Tahiti (France Outre-Mer)</t>
  </si>
  <si>
    <t>Taiwan</t>
  </si>
  <si>
    <t>Tanzanie</t>
  </si>
  <si>
    <t>Tchad</t>
  </si>
  <si>
    <t>Tchéquie</t>
  </si>
  <si>
    <t>Thaïlande</t>
  </si>
  <si>
    <t>Timor oriental</t>
  </si>
  <si>
    <t>Togo</t>
  </si>
  <si>
    <t>Tonga</t>
  </si>
  <si>
    <t>Trinité-et-Tobago</t>
  </si>
  <si>
    <t>Tunisie</t>
  </si>
  <si>
    <t>Turkménistan</t>
  </si>
  <si>
    <t>Turquie</t>
  </si>
  <si>
    <t>Ukraine</t>
  </si>
  <si>
    <t>Uruguay</t>
  </si>
  <si>
    <t>Vanuatu</t>
  </si>
  <si>
    <t>Venezuela</t>
  </si>
  <si>
    <t>Viêt Nam</t>
  </si>
  <si>
    <t>Yémen</t>
  </si>
  <si>
    <t>Zimbabwe</t>
  </si>
  <si>
    <t xml:space="preserve">Bureaux de production - </t>
  </si>
  <si>
    <t>DÉCORATION -</t>
  </si>
  <si>
    <r>
      <t xml:space="preserve">Le tableau de collecte de données pour le bilan carbone 
dans Carbon Clap d'Ecoprod par Les Toiles Vertes
</t>
    </r>
    <r>
      <rPr>
        <sz val="9"/>
        <color theme="1"/>
        <rFont val="Calibri"/>
        <family val="2"/>
        <scheme val="minor"/>
      </rPr>
      <t>Un tableau conçu par Charles Jaegger, Maud Charquet et Solange Mouliere aidés de Brice Barrier.</t>
    </r>
  </si>
  <si>
    <t>Stockage déco</t>
  </si>
  <si>
    <t xml:space="preserve"> Supprimer les lignes vides pour la validation de l'onglet.</t>
  </si>
  <si>
    <t>Toutes les cellules doivent être remplies. S'il n'y a rien à mettre, indiquer néanmoins 0 (zéro). Les première lignes sont remplies à titre d'exemple, ne les conservez pas.</t>
  </si>
  <si>
    <t>Les première lignes sont remplies à titre d'exemple, ne les conservez pas. Supprimer les lignes vides pour la validation de l'onglet.</t>
  </si>
  <si>
    <t xml:space="preserve">Les première lignes sont remplies à titre d'exemple, ne pas les conserver. Toutes les cellules doivent être remplies. S'il n'y a rien à mettre dans la cellule, indiquer néanmoins 0 (zéro). S'il n'y a rien à mettre sur la ligne, supprimer la ligne.  </t>
  </si>
  <si>
    <t>VÉHICULES LEGERS</t>
  </si>
  <si>
    <t>Les première lignes sont remplies à titre d'exemple, ne pas les conserver. Supprimer les lignes vides pour la validation de l'onglet.</t>
  </si>
  <si>
    <t>NB TOTAL DE NUITEES</t>
  </si>
  <si>
    <t>NB DE NUITS</t>
  </si>
  <si>
    <t>NON ECOLO</t>
  </si>
  <si>
    <t>ECOLO
 (avec label)</t>
  </si>
  <si>
    <t>NICE</t>
  </si>
  <si>
    <t>TOKYO</t>
  </si>
  <si>
    <t>moyen transport</t>
  </si>
  <si>
    <t>pièce comptable</t>
  </si>
  <si>
    <t>détail trajet</t>
  </si>
  <si>
    <t>km</t>
  </si>
  <si>
    <t>total km</t>
  </si>
  <si>
    <t>Paris - Nice</t>
  </si>
  <si>
    <t>TOTAL VOITURES</t>
  </si>
  <si>
    <t>TOTAL PASSAGERS TRAIN</t>
  </si>
  <si>
    <t>TOTAL PASSAGERS AVION</t>
  </si>
  <si>
    <t>TOTAL PASSAGERS BATEAU</t>
  </si>
  <si>
    <t xml:space="preserve">nbre trajets </t>
  </si>
  <si>
    <t xml:space="preserve">Les première lignes sont remplies à titre d'exemple, ne les conservez pas. Toutes les cellules doivent être remplies. S'il n'y a rien à mettre, indiquer néanmoins 0 (zéro).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</si>
</sst>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0.00\ [$€-40C]_-;\-* #,##0.00\ [$€-40C]_-;_-* &quot;-&quot;??\ [$€-40C]_-;_-@"/>
    <numFmt numFmtId="165" formatCode="General\ &quot;jour.humain&quot;"/>
    <numFmt numFmtId="166" formatCode="General\ &quot;jour&quot;"/>
    <numFmt numFmtId="167" formatCode="0\ &quot;m2&quot;"/>
    <numFmt numFmtId="168" formatCode="General\ &quot;kWh&quot;"/>
    <numFmt numFmtId="169" formatCode="General\ &quot;m2&quot;"/>
    <numFmt numFmtId="170" formatCode="d/m/yyyy"/>
    <numFmt numFmtId="171" formatCode="General\ &quot;km&quot;"/>
    <numFmt numFmtId="172" formatCode="General\ &quot;kg&quot;"/>
    <numFmt numFmtId="173" formatCode="dd/mm/yy"/>
    <numFmt numFmtId="174" formatCode="d/m/yy"/>
    <numFmt numFmtId="175" formatCode="dd/mm"/>
    <numFmt numFmtId="176" formatCode="General\ &quot;nuit(s)&quot;"/>
    <numFmt numFmtId="177" formatCode="General\ &quot;Kg CO2&quot;"/>
    <numFmt numFmtId="178" formatCode="0.00\ &quot;Kg CO2&quot;"/>
    <numFmt numFmtId="179" formatCode="0.0\ &quot;Kg CO2&quot;"/>
    <numFmt numFmtId="180" formatCode="_(* #,##0_);_(* \(#,##0\);_(* &quot;-&quot;??_);_(@_)"/>
    <numFmt numFmtId="181" formatCode="General\ &quot;jour(s)&quot;"/>
    <numFmt numFmtId="182" formatCode="General\ &quot;minutes&quot;"/>
    <numFmt numFmtId="183" formatCode="General\ &quot;litres&quot;"/>
    <numFmt numFmtId="184" formatCode="General\ &quot;To&quot;"/>
    <numFmt numFmtId="185" formatCode="#,##0\ &quot;€&quot;"/>
    <numFmt numFmtId="186" formatCode="General\ &quot;jour.machine&quot;"/>
  </numFmts>
  <fonts count="71">
    <font>
      <sz val="12"/>
      <color theme="1"/>
      <name val="Calibri"/>
      <scheme val="minor"/>
    </font>
    <font>
      <b/>
      <sz val="20"/>
      <color theme="1"/>
      <name val="Calibri"/>
      <family val="2"/>
    </font>
    <font>
      <sz val="12"/>
      <name val="Calibri"/>
      <family val="2"/>
    </font>
    <font>
      <sz val="12"/>
      <color theme="1"/>
      <name val="Calibri"/>
      <family val="2"/>
    </font>
    <font>
      <b/>
      <i/>
      <sz val="10"/>
      <color rgb="FFC00000"/>
      <name val="Calibri"/>
      <family val="2"/>
    </font>
    <font>
      <b/>
      <i/>
      <sz val="10"/>
      <color theme="1"/>
      <name val="Calibri"/>
      <family val="2"/>
    </font>
    <font>
      <b/>
      <i/>
      <sz val="12"/>
      <color theme="1"/>
      <name val="Calibri"/>
      <family val="2"/>
    </font>
    <font>
      <b/>
      <u/>
      <sz val="14"/>
      <color theme="1"/>
      <name val="Calibri"/>
      <family val="2"/>
    </font>
    <font>
      <b/>
      <sz val="12"/>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u/>
      <sz val="14"/>
      <color theme="1"/>
      <name val="Calibri"/>
      <family val="2"/>
    </font>
    <font>
      <b/>
      <sz val="14"/>
      <color theme="1"/>
      <name val="Calibri"/>
      <family val="2"/>
    </font>
    <font>
      <b/>
      <sz val="18"/>
      <color theme="1"/>
      <name val="Calibri"/>
      <family val="2"/>
    </font>
    <font>
      <b/>
      <u/>
      <sz val="18"/>
      <color theme="1"/>
      <name val="Calibri"/>
      <family val="2"/>
    </font>
    <font>
      <b/>
      <u/>
      <sz val="18"/>
      <color theme="1"/>
      <name val="Calibri"/>
      <family val="2"/>
    </font>
    <font>
      <b/>
      <sz val="12"/>
      <color rgb="FFFF0000"/>
      <name val="Calibri"/>
      <family val="2"/>
    </font>
    <font>
      <i/>
      <sz val="12"/>
      <color theme="1"/>
      <name val="Calibri"/>
      <family val="2"/>
    </font>
    <font>
      <b/>
      <sz val="8"/>
      <color theme="1"/>
      <name val="Calibri"/>
      <family val="2"/>
    </font>
    <font>
      <b/>
      <i/>
      <sz val="14"/>
      <color theme="1"/>
      <name val="Calibri"/>
      <family val="2"/>
    </font>
    <font>
      <sz val="12"/>
      <color rgb="FF000000"/>
      <name val="Calibri"/>
      <family val="2"/>
    </font>
    <font>
      <sz val="12"/>
      <color theme="1"/>
      <name val="Calibri"/>
      <family val="2"/>
      <scheme val="minor"/>
    </font>
    <font>
      <b/>
      <i/>
      <u/>
      <sz val="12"/>
      <color theme="1"/>
      <name val="Calibri"/>
      <family val="2"/>
    </font>
    <font>
      <b/>
      <sz val="9"/>
      <color theme="1"/>
      <name val="Calibri"/>
      <family val="2"/>
    </font>
    <font>
      <sz val="18"/>
      <color theme="1"/>
      <name val="Calibri"/>
      <family val="2"/>
    </font>
    <font>
      <sz val="12"/>
      <color rgb="FFFF0000"/>
      <name val="Calibri"/>
      <family val="2"/>
    </font>
    <font>
      <b/>
      <i/>
      <sz val="18"/>
      <color theme="1"/>
      <name val="Calibri"/>
      <family val="2"/>
    </font>
    <font>
      <b/>
      <sz val="12"/>
      <color rgb="FF000000"/>
      <name val="Calibri"/>
      <family val="2"/>
    </font>
    <font>
      <sz val="12"/>
      <color rgb="FF000000"/>
      <name val="Calibri"/>
      <family val="2"/>
    </font>
    <font>
      <sz val="12"/>
      <color theme="1"/>
      <name val="HK Grotesk Regular"/>
    </font>
    <font>
      <b/>
      <sz val="16"/>
      <color theme="1"/>
      <name val="Calibri"/>
      <family val="2"/>
    </font>
    <font>
      <b/>
      <sz val="16"/>
      <color theme="1"/>
      <name val="HK Grotesk Regular"/>
    </font>
    <font>
      <b/>
      <sz val="10"/>
      <color theme="1"/>
      <name val="Calibri"/>
      <family val="2"/>
    </font>
    <font>
      <sz val="12"/>
      <color rgb="FFFFFFFF"/>
      <name val="Calibri"/>
      <family val="2"/>
    </font>
    <font>
      <sz val="14"/>
      <color theme="1"/>
      <name val="Calibri"/>
      <family val="2"/>
    </font>
    <font>
      <sz val="12"/>
      <color rgb="FF000000"/>
      <name val="&quot;Aptos Narrow&quot;"/>
    </font>
    <font>
      <sz val="12"/>
      <color rgb="FF000000"/>
      <name val="Arial"/>
      <family val="2"/>
    </font>
    <font>
      <b/>
      <i/>
      <u/>
      <sz val="10"/>
      <color theme="1"/>
      <name val="Calibri"/>
      <family val="2"/>
    </font>
    <font>
      <b/>
      <i/>
      <u/>
      <sz val="10"/>
      <color theme="1"/>
      <name val="Calibri"/>
      <family val="2"/>
    </font>
    <font>
      <b/>
      <i/>
      <u/>
      <sz val="10"/>
      <color theme="1"/>
      <name val="Calibri"/>
      <family val="2"/>
    </font>
    <font>
      <b/>
      <i/>
      <u/>
      <sz val="10"/>
      <color theme="1"/>
      <name val="Calibri"/>
      <family val="2"/>
    </font>
    <font>
      <sz val="10"/>
      <color theme="1"/>
      <name val="Calibri"/>
      <family val="2"/>
    </font>
    <font>
      <sz val="12"/>
      <color theme="1"/>
      <name val="Arial"/>
      <family val="2"/>
    </font>
    <font>
      <sz val="12"/>
      <color theme="1"/>
      <name val="Arial"/>
      <family val="2"/>
    </font>
    <font>
      <sz val="16"/>
      <color theme="0"/>
      <name val="Calibri"/>
      <family val="2"/>
    </font>
    <font>
      <sz val="16"/>
      <color theme="1"/>
      <name val="Calibri"/>
      <family val="2"/>
    </font>
    <font>
      <u/>
      <sz val="11"/>
      <color rgb="FF0000FF"/>
      <name val="Calibri"/>
      <family val="2"/>
    </font>
    <font>
      <sz val="11"/>
      <color theme="1"/>
      <name val="Calibri"/>
      <family val="2"/>
    </font>
    <font>
      <u/>
      <sz val="12"/>
      <color rgb="FF0000FF"/>
      <name val="Calibri"/>
      <family val="2"/>
    </font>
    <font>
      <u/>
      <sz val="12"/>
      <color theme="1"/>
      <name val="Calibri"/>
      <family val="2"/>
    </font>
    <font>
      <u/>
      <sz val="11"/>
      <color rgb="FF0000FF"/>
      <name val="Calibri"/>
      <family val="2"/>
    </font>
    <font>
      <b/>
      <sz val="14"/>
      <color rgb="FF1E4E79"/>
      <name val="HK Grotesk Regular"/>
    </font>
    <font>
      <b/>
      <i/>
      <sz val="12"/>
      <color rgb="FFC00000"/>
      <name val="Calibri"/>
      <family val="2"/>
    </font>
    <font>
      <i/>
      <sz val="10"/>
      <color theme="1"/>
      <name val="Calibri"/>
      <family val="2"/>
    </font>
    <font>
      <b/>
      <i/>
      <sz val="8"/>
      <color theme="1"/>
      <name val="Calibri"/>
      <family val="2"/>
    </font>
    <font>
      <b/>
      <i/>
      <vertAlign val="superscript"/>
      <sz val="12"/>
      <color theme="1"/>
      <name val="Calibri"/>
      <family val="2"/>
    </font>
    <font>
      <vertAlign val="superscript"/>
      <sz val="12"/>
      <color theme="1"/>
      <name val="Calibri"/>
      <family val="2"/>
    </font>
    <font>
      <b/>
      <sz val="16"/>
      <color theme="1"/>
      <name val="Calibri"/>
      <family val="2"/>
      <scheme val="minor"/>
    </font>
    <font>
      <sz val="9"/>
      <color theme="1"/>
      <name val="Calibri"/>
      <family val="2"/>
      <scheme val="minor"/>
    </font>
    <font>
      <sz val="12"/>
      <color theme="0"/>
      <name val="Calibri"/>
      <family val="2"/>
    </font>
  </fonts>
  <fills count="68">
    <fill>
      <patternFill patternType="none"/>
    </fill>
    <fill>
      <patternFill patternType="gray125"/>
    </fill>
    <fill>
      <patternFill patternType="solid">
        <fgColor rgb="FFE0EAE9"/>
        <bgColor rgb="FFE0EAE9"/>
      </patternFill>
    </fill>
    <fill>
      <patternFill patternType="solid">
        <fgColor rgb="FFECECEC"/>
        <bgColor rgb="FFECECEC"/>
      </patternFill>
    </fill>
    <fill>
      <patternFill patternType="solid">
        <fgColor rgb="FFB9EDFF"/>
        <bgColor rgb="FFB9EDFF"/>
      </patternFill>
    </fill>
    <fill>
      <patternFill patternType="solid">
        <fgColor rgb="FFDDF6FF"/>
        <bgColor rgb="FFDDF6FF"/>
      </patternFill>
    </fill>
    <fill>
      <patternFill patternType="solid">
        <fgColor rgb="FFF7FDFF"/>
        <bgColor rgb="FFF7FDFF"/>
      </patternFill>
    </fill>
    <fill>
      <patternFill patternType="solid">
        <fgColor rgb="FFD1FFD9"/>
        <bgColor rgb="FFD1FFD9"/>
      </patternFill>
    </fill>
    <fill>
      <patternFill patternType="solid">
        <fgColor rgb="FFEFFFF1"/>
        <bgColor rgb="FFEFFFF1"/>
      </patternFill>
    </fill>
    <fill>
      <patternFill patternType="solid">
        <fgColor rgb="FFFEF2CB"/>
        <bgColor rgb="FFFEF2CB"/>
      </patternFill>
    </fill>
    <fill>
      <patternFill patternType="solid">
        <fgColor rgb="FFFFFAEB"/>
        <bgColor rgb="FFFFFAEB"/>
      </patternFill>
    </fill>
    <fill>
      <patternFill patternType="solid">
        <fgColor rgb="FFFFE598"/>
        <bgColor rgb="FFFFE598"/>
      </patternFill>
    </fill>
    <fill>
      <patternFill patternType="solid">
        <fgColor rgb="FFFFD965"/>
        <bgColor rgb="FFFFD965"/>
      </patternFill>
    </fill>
    <fill>
      <patternFill patternType="solid">
        <fgColor rgb="FFC5E0B3"/>
        <bgColor rgb="FFC5E0B3"/>
      </patternFill>
    </fill>
    <fill>
      <patternFill patternType="solid">
        <fgColor rgb="FFE2CFF1"/>
        <bgColor rgb="FFE2CFF1"/>
      </patternFill>
    </fill>
    <fill>
      <patternFill patternType="solid">
        <fgColor rgb="FFF4ECFA"/>
        <bgColor rgb="FFF4ECFA"/>
      </patternFill>
    </fill>
    <fill>
      <patternFill patternType="solid">
        <fgColor rgb="FFA4FEC4"/>
        <bgColor rgb="FFA4FEC4"/>
      </patternFill>
    </fill>
    <fill>
      <patternFill patternType="solid">
        <fgColor rgb="FFEDF7E1"/>
        <bgColor rgb="FFEDF7E1"/>
      </patternFill>
    </fill>
    <fill>
      <patternFill patternType="solid">
        <fgColor rgb="FFFAFDF5"/>
        <bgColor rgb="FFFAFDF5"/>
      </patternFill>
    </fill>
    <fill>
      <patternFill patternType="solid">
        <fgColor rgb="FFCAE0F2"/>
        <bgColor rgb="FFCAE0F2"/>
      </patternFill>
    </fill>
    <fill>
      <patternFill patternType="solid">
        <fgColor rgb="FFA9C7E9"/>
        <bgColor rgb="FFA9C7E9"/>
      </patternFill>
    </fill>
    <fill>
      <patternFill patternType="solid">
        <fgColor rgb="FFDEE9F6"/>
        <bgColor rgb="FFDEE9F6"/>
      </patternFill>
    </fill>
    <fill>
      <patternFill patternType="solid">
        <fgColor rgb="FFFCEBE0"/>
        <bgColor rgb="FFFCEBE0"/>
      </patternFill>
    </fill>
    <fill>
      <patternFill patternType="solid">
        <fgColor rgb="FFFAD9C2"/>
        <bgColor rgb="FFFAD9C2"/>
      </patternFill>
    </fill>
    <fill>
      <patternFill patternType="solid">
        <fgColor rgb="FFF7C39F"/>
        <bgColor rgb="FFF7C39F"/>
      </patternFill>
    </fill>
    <fill>
      <patternFill patternType="solid">
        <fgColor rgb="FFFFE1FF"/>
        <bgColor rgb="FFFFE1FF"/>
      </patternFill>
    </fill>
    <fill>
      <patternFill patternType="solid">
        <fgColor rgb="FFFFF3FF"/>
        <bgColor rgb="FFFFF3FF"/>
      </patternFill>
    </fill>
    <fill>
      <patternFill patternType="solid">
        <fgColor rgb="FFFFD1D1"/>
        <bgColor rgb="FFFFD1D1"/>
      </patternFill>
    </fill>
    <fill>
      <patternFill patternType="solid">
        <fgColor rgb="FFE2EFD9"/>
        <bgColor rgb="FFE2EFD9"/>
      </patternFill>
    </fill>
    <fill>
      <patternFill patternType="solid">
        <fgColor rgb="FFD6BBEB"/>
        <bgColor rgb="FFD6BBEB"/>
      </patternFill>
    </fill>
    <fill>
      <patternFill patternType="solid">
        <fgColor rgb="FFE8D8F4"/>
        <bgColor rgb="FFE8D8F4"/>
      </patternFill>
    </fill>
    <fill>
      <patternFill patternType="solid">
        <fgColor rgb="FFF4FAEC"/>
        <bgColor rgb="FFF4FAEC"/>
      </patternFill>
    </fill>
    <fill>
      <patternFill patternType="solid">
        <fgColor rgb="FFF9D1B5"/>
        <bgColor rgb="FFF9D1B5"/>
      </patternFill>
    </fill>
    <fill>
      <patternFill patternType="solid">
        <fgColor rgb="FFFFEFFF"/>
        <bgColor rgb="FFFFEFFF"/>
      </patternFill>
    </fill>
    <fill>
      <patternFill patternType="solid">
        <fgColor rgb="FFD5F4FF"/>
        <bgColor rgb="FFD5F4FF"/>
      </patternFill>
    </fill>
    <fill>
      <patternFill patternType="solid">
        <fgColor rgb="FFE7F9FF"/>
        <bgColor rgb="FFE7F9FF"/>
      </patternFill>
    </fill>
    <fill>
      <patternFill patternType="solid">
        <fgColor rgb="FFF2F2F2"/>
        <bgColor rgb="FFF2F2F2"/>
      </patternFill>
    </fill>
    <fill>
      <patternFill patternType="solid">
        <fgColor rgb="FFFFEFEF"/>
        <bgColor rgb="FFFFEFEF"/>
      </patternFill>
    </fill>
    <fill>
      <patternFill patternType="solid">
        <fgColor rgb="FFEBFFEE"/>
        <bgColor rgb="FFEBFFEE"/>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FFD966"/>
        <bgColor rgb="FFFFD966"/>
      </patternFill>
    </fill>
    <fill>
      <patternFill patternType="solid">
        <fgColor rgb="FFEDEDED"/>
        <bgColor rgb="FFEDEDED"/>
      </patternFill>
    </fill>
    <fill>
      <patternFill patternType="solid">
        <fgColor rgb="FFF3EBF9"/>
        <bgColor rgb="FFF3EBF9"/>
      </patternFill>
    </fill>
    <fill>
      <patternFill patternType="solid">
        <fgColor rgb="FFFFF2CC"/>
        <bgColor rgb="FFFFF2CC"/>
      </patternFill>
    </fill>
    <fill>
      <patternFill patternType="solid">
        <fgColor rgb="FFA8D08D"/>
        <bgColor rgb="FFA8D08D"/>
      </patternFill>
    </fill>
    <fill>
      <patternFill patternType="solid">
        <fgColor rgb="FFE7E6E6"/>
        <bgColor rgb="FFE7E6E6"/>
      </patternFill>
    </fill>
    <fill>
      <patternFill patternType="solid">
        <fgColor rgb="FFD8D8D8"/>
        <bgColor rgb="FFD8D8D8"/>
      </patternFill>
    </fill>
    <fill>
      <patternFill patternType="solid">
        <fgColor rgb="FFE7FFEF"/>
        <bgColor rgb="FFE7FFEF"/>
      </patternFill>
    </fill>
    <fill>
      <patternFill patternType="solid">
        <fgColor rgb="FFC00000"/>
        <bgColor rgb="FFC00000"/>
      </patternFill>
    </fill>
    <fill>
      <patternFill patternType="solid">
        <fgColor rgb="FFFFC000"/>
        <bgColor rgb="FFFFC000"/>
      </patternFill>
    </fill>
    <fill>
      <patternFill patternType="solid">
        <fgColor rgb="FFEFEFEF"/>
        <bgColor rgb="FFEFEFEF"/>
      </patternFill>
    </fill>
    <fill>
      <patternFill patternType="solid">
        <fgColor rgb="FFF6FBEF"/>
        <bgColor rgb="FFF6FBEF"/>
      </patternFill>
    </fill>
    <fill>
      <patternFill patternType="solid">
        <fgColor rgb="FFFF0000"/>
        <bgColor rgb="FFFF0000"/>
      </patternFill>
    </fill>
    <fill>
      <patternFill patternType="solid">
        <fgColor rgb="FFD3E7C7"/>
        <bgColor rgb="FFD3E7C7"/>
      </patternFill>
    </fill>
    <fill>
      <patternFill patternType="solid">
        <fgColor rgb="FFFDF1E9"/>
        <bgColor rgb="FFFDF1E9"/>
      </patternFill>
    </fill>
    <fill>
      <patternFill patternType="solid">
        <fgColor rgb="FFFBE0CD"/>
        <bgColor rgb="FFFBE0CD"/>
      </patternFill>
    </fill>
    <fill>
      <patternFill patternType="solid">
        <fgColor rgb="FFBDD6EE"/>
        <bgColor rgb="FFBDD6EE"/>
      </patternFill>
    </fill>
    <fill>
      <patternFill patternType="solid">
        <fgColor theme="0"/>
        <bgColor rgb="FFB7B7B7"/>
      </patternFill>
    </fill>
    <fill>
      <patternFill patternType="solid">
        <fgColor theme="0"/>
        <bgColor indexed="64"/>
      </patternFill>
    </fill>
    <fill>
      <patternFill patternType="solid">
        <fgColor theme="0"/>
        <bgColor rgb="FFFFE599"/>
      </patternFill>
    </fill>
    <fill>
      <patternFill patternType="solid">
        <fgColor theme="0"/>
        <bgColor rgb="FFD9D2E9"/>
      </patternFill>
    </fill>
    <fill>
      <patternFill patternType="solid">
        <fgColor theme="0"/>
        <bgColor rgb="FFFFF2CC"/>
      </patternFill>
    </fill>
    <fill>
      <patternFill patternType="solid">
        <fgColor theme="0"/>
        <bgColor rgb="FFEAD1DC"/>
      </patternFill>
    </fill>
    <fill>
      <patternFill patternType="solid">
        <fgColor theme="0"/>
        <bgColor rgb="FFE6B8AF"/>
      </patternFill>
    </fill>
    <fill>
      <patternFill patternType="solid">
        <fgColor theme="0"/>
        <bgColor rgb="FFD0E0E3"/>
      </patternFill>
    </fill>
    <fill>
      <patternFill patternType="solid">
        <fgColor theme="0"/>
        <bgColor rgb="FFFFFF00"/>
      </patternFill>
    </fill>
  </fills>
  <borders count="120">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666666"/>
      </right>
      <top style="medium">
        <color rgb="FF000000"/>
      </top>
      <bottom style="medium">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666666"/>
      </right>
      <top style="medium">
        <color rgb="FF000000"/>
      </top>
      <bottom/>
      <diagonal/>
    </border>
    <border>
      <left style="thin">
        <color rgb="FF666666"/>
      </left>
      <right style="thin">
        <color rgb="FF666666"/>
      </right>
      <top style="medium">
        <color rgb="FF000000"/>
      </top>
      <bottom/>
      <diagonal/>
    </border>
    <border>
      <left style="thin">
        <color rgb="FF666666"/>
      </left>
      <right style="medium">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thin">
        <color rgb="FF000000"/>
      </top>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medium">
        <color rgb="FF000000"/>
      </top>
      <bottom/>
      <diagonal/>
    </border>
    <border>
      <left style="medium">
        <color rgb="FF000000"/>
      </left>
      <right/>
      <top/>
      <bottom style="medium">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style="thin">
        <color rgb="FF000000"/>
      </bottom>
      <diagonal/>
    </border>
    <border>
      <left style="thin">
        <color rgb="FF666666"/>
      </left>
      <right style="thin">
        <color rgb="FF666666"/>
      </right>
      <top/>
      <bottom style="thin">
        <color rgb="FF666666"/>
      </bottom>
      <diagonal/>
    </border>
    <border>
      <left style="thin">
        <color rgb="FF666666"/>
      </left>
      <right style="thin">
        <color rgb="FF666666"/>
      </right>
      <top style="thin">
        <color rgb="FF666666"/>
      </top>
      <bottom style="thin">
        <color rgb="FF666666"/>
      </bottom>
      <diagonal/>
    </border>
    <border>
      <left style="thin">
        <color rgb="FF666666"/>
      </left>
      <right style="thin">
        <color rgb="FF666666"/>
      </right>
      <top/>
      <bottom style="thin">
        <color rgb="FF666666"/>
      </bottom>
      <diagonal/>
    </border>
    <border>
      <left style="thin">
        <color theme="1"/>
      </left>
      <right style="thin">
        <color rgb="FF000000"/>
      </right>
      <top style="medium">
        <color rgb="FF000000"/>
      </top>
      <bottom style="thin">
        <color rgb="FF000000"/>
      </bottom>
      <diagonal/>
    </border>
    <border>
      <left style="thin">
        <color theme="1"/>
      </left>
      <right style="thin">
        <color rgb="FF000000"/>
      </right>
      <top style="thin">
        <color rgb="FF000000"/>
      </top>
      <bottom style="thin">
        <color rgb="FF000000"/>
      </bottom>
      <diagonal/>
    </border>
    <border>
      <left style="thin">
        <color rgb="FF666666"/>
      </left>
      <right style="thin">
        <color rgb="FF666666"/>
      </right>
      <top style="thin">
        <color rgb="FF666666"/>
      </top>
      <bottom style="medium">
        <color rgb="FF66666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760">
    <xf numFmtId="0" fontId="0" fillId="0" borderId="0" xfId="0"/>
    <xf numFmtId="0" fontId="3" fillId="0" borderId="0" xfId="0" applyFont="1"/>
    <xf numFmtId="0" fontId="4" fillId="0" borderId="0" xfId="0" applyFont="1" applyAlignment="1">
      <alignment vertical="center"/>
    </xf>
    <xf numFmtId="0" fontId="5" fillId="0" borderId="0" xfId="0" applyFont="1" applyAlignment="1">
      <alignment vertical="center"/>
    </xf>
    <xf numFmtId="0" fontId="3" fillId="0" borderId="0" xfId="0" applyFont="1" applyAlignment="1">
      <alignment horizontal="center"/>
    </xf>
    <xf numFmtId="0" fontId="6" fillId="3" borderId="6" xfId="0" applyFont="1" applyFill="1" applyBorder="1" applyAlignment="1">
      <alignment horizontal="center"/>
    </xf>
    <xf numFmtId="0" fontId="3" fillId="0" borderId="0" xfId="0" applyFont="1" applyAlignment="1">
      <alignment horizontal="center" vertical="center"/>
    </xf>
    <xf numFmtId="0" fontId="3" fillId="6" borderId="6" xfId="0" applyFont="1" applyFill="1" applyBorder="1" applyAlignment="1">
      <alignment horizontal="center" vertical="center"/>
    </xf>
    <xf numFmtId="0" fontId="3" fillId="0" borderId="6" xfId="0" applyFont="1" applyBorder="1" applyAlignment="1">
      <alignment horizontal="center" vertical="center"/>
    </xf>
    <xf numFmtId="0" fontId="3" fillId="3" borderId="6" xfId="0" applyFont="1" applyFill="1" applyBorder="1" applyAlignment="1">
      <alignment horizontal="center" vertical="center"/>
    </xf>
    <xf numFmtId="0" fontId="3" fillId="0" borderId="0" xfId="0" applyFont="1" applyAlignment="1">
      <alignment vertical="center"/>
    </xf>
    <xf numFmtId="0" fontId="6" fillId="0" borderId="0" xfId="0" applyFont="1" applyAlignment="1">
      <alignment horizontal="center" vertical="center"/>
    </xf>
    <xf numFmtId="0" fontId="3" fillId="0" borderId="0" xfId="0" applyFont="1" applyAlignment="1">
      <alignment horizontal="center" vertical="center" wrapText="1"/>
    </xf>
    <xf numFmtId="0" fontId="24"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horizontal="center" vertical="center"/>
    </xf>
    <xf numFmtId="0" fontId="27" fillId="0" borderId="0" xfId="0" applyFont="1" applyAlignment="1">
      <alignment horizontal="center" vertical="center"/>
    </xf>
    <xf numFmtId="0" fontId="28" fillId="6" borderId="8" xfId="0" applyFont="1" applyFill="1" applyBorder="1" applyAlignment="1">
      <alignment horizontal="center" vertical="center"/>
    </xf>
    <xf numFmtId="0" fontId="28" fillId="6" borderId="9" xfId="0" applyFont="1" applyFill="1" applyBorder="1" applyAlignment="1">
      <alignment horizontal="center" vertical="center"/>
    </xf>
    <xf numFmtId="0" fontId="28" fillId="0" borderId="0" xfId="0" applyFont="1" applyAlignment="1">
      <alignment horizontal="center" vertical="center"/>
    </xf>
    <xf numFmtId="0" fontId="3" fillId="36" borderId="10" xfId="0" applyFont="1" applyFill="1" applyBorder="1" applyAlignment="1">
      <alignment vertical="center"/>
    </xf>
    <xf numFmtId="0" fontId="3" fillId="0" borderId="11" xfId="0" applyFont="1" applyBorder="1"/>
    <xf numFmtId="0" fontId="3" fillId="36" borderId="12" xfId="0" applyFont="1" applyFill="1" applyBorder="1" applyAlignment="1">
      <alignment vertical="center"/>
    </xf>
    <xf numFmtId="0" fontId="3" fillId="0" borderId="13" xfId="0" applyFont="1" applyBorder="1"/>
    <xf numFmtId="0" fontId="3" fillId="36" borderId="14" xfId="0" applyFont="1" applyFill="1" applyBorder="1" applyAlignment="1">
      <alignment vertical="center"/>
    </xf>
    <xf numFmtId="0" fontId="3" fillId="0" borderId="15" xfId="0" applyFont="1" applyBorder="1"/>
    <xf numFmtId="0" fontId="3" fillId="36" borderId="16" xfId="0" applyFont="1" applyFill="1" applyBorder="1"/>
    <xf numFmtId="164" fontId="3" fillId="0" borderId="17" xfId="0" applyNumberFormat="1" applyFont="1" applyBorder="1" applyAlignment="1">
      <alignment horizontal="center" vertical="center"/>
    </xf>
    <xf numFmtId="0" fontId="3" fillId="36" borderId="14" xfId="0" applyFont="1" applyFill="1" applyBorder="1"/>
    <xf numFmtId="164" fontId="3" fillId="0" borderId="15" xfId="0" applyNumberFormat="1" applyFont="1" applyBorder="1" applyAlignment="1">
      <alignment horizontal="center" vertical="center"/>
    </xf>
    <xf numFmtId="0" fontId="3" fillId="36" borderId="8" xfId="0" applyFont="1" applyFill="1" applyBorder="1" applyAlignment="1">
      <alignment vertical="center" wrapText="1"/>
    </xf>
    <xf numFmtId="164" fontId="3" fillId="0" borderId="9" xfId="0" applyNumberFormat="1" applyFont="1" applyBorder="1" applyAlignment="1">
      <alignment horizontal="center" vertical="center"/>
    </xf>
    <xf numFmtId="0" fontId="3" fillId="36" borderId="18" xfId="0" applyFont="1" applyFill="1" applyBorder="1" applyAlignment="1">
      <alignment horizontal="left" vertical="center" wrapText="1"/>
    </xf>
    <xf numFmtId="0" fontId="5" fillId="37" borderId="19" xfId="0" applyFont="1" applyFill="1" applyBorder="1" applyAlignment="1">
      <alignment vertical="center"/>
    </xf>
    <xf numFmtId="0" fontId="5" fillId="10" borderId="19" xfId="0" applyFont="1" applyFill="1" applyBorder="1" applyAlignment="1">
      <alignment vertical="center"/>
    </xf>
    <xf numFmtId="0" fontId="8" fillId="0" borderId="0" xfId="0" applyFont="1" applyAlignment="1">
      <alignment horizontal="center" vertical="center" wrapText="1"/>
    </xf>
    <xf numFmtId="0" fontId="6" fillId="3" borderId="6"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30" fillId="0" borderId="0" xfId="0" applyFont="1" applyAlignment="1">
      <alignment horizontal="center" vertical="center" wrapText="1"/>
    </xf>
    <xf numFmtId="0" fontId="28" fillId="0" borderId="0" xfId="0" applyFont="1" applyAlignment="1">
      <alignment horizontal="center" vertical="center" wrapText="1"/>
    </xf>
    <xf numFmtId="0" fontId="28" fillId="37" borderId="6"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10" borderId="6" xfId="0" applyFont="1" applyFill="1" applyBorder="1" applyAlignment="1">
      <alignment horizontal="center" vertical="center" wrapText="1"/>
    </xf>
    <xf numFmtId="165" fontId="3" fillId="39" borderId="6" xfId="0" applyNumberFormat="1" applyFont="1" applyFill="1" applyBorder="1" applyAlignment="1">
      <alignment horizontal="center" vertical="center" wrapText="1"/>
    </xf>
    <xf numFmtId="166" fontId="3" fillId="39" borderId="6" xfId="0" applyNumberFormat="1" applyFont="1" applyFill="1" applyBorder="1" applyAlignment="1">
      <alignment horizontal="center" vertical="center" wrapText="1"/>
    </xf>
    <xf numFmtId="0" fontId="3" fillId="40" borderId="6" xfId="0" applyFont="1" applyFill="1" applyBorder="1" applyAlignment="1">
      <alignment horizontal="center" vertical="center" wrapText="1"/>
    </xf>
    <xf numFmtId="167" fontId="3" fillId="0" borderId="6" xfId="0" applyNumberFormat="1" applyFont="1" applyBorder="1" applyAlignment="1">
      <alignment horizontal="center" vertical="center" wrapText="1"/>
    </xf>
    <xf numFmtId="168" fontId="3" fillId="39" borderId="6" xfId="0" applyNumberFormat="1" applyFont="1" applyFill="1" applyBorder="1" applyAlignment="1">
      <alignment horizontal="center" vertical="center" wrapText="1"/>
    </xf>
    <xf numFmtId="0" fontId="3" fillId="39" borderId="6" xfId="0" applyFont="1" applyFill="1" applyBorder="1" applyAlignment="1">
      <alignment horizontal="center" vertical="center" wrapText="1"/>
    </xf>
    <xf numFmtId="169" fontId="3" fillId="39" borderId="6" xfId="0" applyNumberFormat="1" applyFont="1" applyFill="1" applyBorder="1" applyAlignment="1">
      <alignment horizontal="center" vertical="center" wrapText="1"/>
    </xf>
    <xf numFmtId="0" fontId="31" fillId="0" borderId="6" xfId="0" applyFont="1" applyBorder="1" applyAlignment="1">
      <alignment horizontal="center"/>
    </xf>
    <xf numFmtId="0" fontId="31" fillId="0" borderId="23" xfId="0" applyFont="1" applyBorder="1" applyAlignment="1">
      <alignment horizontal="center"/>
    </xf>
    <xf numFmtId="165" fontId="3" fillId="41" borderId="6" xfId="0" applyNumberFormat="1" applyFont="1" applyFill="1" applyBorder="1" applyAlignment="1">
      <alignment horizontal="center" vertical="center" wrapText="1"/>
    </xf>
    <xf numFmtId="165" fontId="3" fillId="42" borderId="6" xfId="0" applyNumberFormat="1" applyFont="1" applyFill="1" applyBorder="1" applyAlignment="1">
      <alignment horizontal="center" vertical="center" wrapText="1"/>
    </xf>
    <xf numFmtId="0" fontId="3" fillId="41" borderId="6" xfId="0" applyFont="1" applyFill="1" applyBorder="1" applyAlignment="1">
      <alignment horizontal="center" vertical="center" wrapText="1"/>
    </xf>
    <xf numFmtId="0" fontId="32" fillId="0" borderId="0" xfId="0" applyFont="1" applyAlignment="1">
      <alignment horizontal="center"/>
    </xf>
    <xf numFmtId="169" fontId="3" fillId="8" borderId="6" xfId="0" applyNumberFormat="1" applyFont="1" applyFill="1" applyBorder="1" applyAlignment="1">
      <alignment horizontal="center" vertical="center" wrapText="1"/>
    </xf>
    <xf numFmtId="0" fontId="33" fillId="0" borderId="0" xfId="0" applyFont="1" applyAlignment="1">
      <alignment horizontal="left" vertical="center"/>
    </xf>
    <xf numFmtId="0" fontId="8" fillId="0" borderId="0" xfId="0" applyFont="1" applyAlignment="1">
      <alignment vertical="center"/>
    </xf>
    <xf numFmtId="0" fontId="29" fillId="3"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6" xfId="0" applyFont="1" applyFill="1" applyBorder="1" applyAlignment="1">
      <alignment horizontal="center" vertical="center"/>
    </xf>
    <xf numFmtId="0" fontId="3" fillId="37" borderId="6" xfId="0" applyFont="1" applyFill="1" applyBorder="1" applyAlignment="1">
      <alignment horizontal="center" vertical="center" wrapText="1"/>
    </xf>
    <xf numFmtId="0" fontId="31" fillId="0" borderId="5" xfId="0" applyFont="1" applyBorder="1" applyAlignment="1">
      <alignment horizontal="center"/>
    </xf>
    <xf numFmtId="170" fontId="31" fillId="0" borderId="6" xfId="0" applyNumberFormat="1" applyFont="1" applyBorder="1" applyAlignment="1">
      <alignment horizontal="center"/>
    </xf>
    <xf numFmtId="170" fontId="31" fillId="0" borderId="5" xfId="0" applyNumberFormat="1" applyFont="1" applyBorder="1" applyAlignment="1">
      <alignment horizontal="center"/>
    </xf>
    <xf numFmtId="171" fontId="3" fillId="0" borderId="6" xfId="0" applyNumberFormat="1" applyFont="1" applyBorder="1" applyAlignment="1">
      <alignment horizontal="center" vertical="center"/>
    </xf>
    <xf numFmtId="0" fontId="31" fillId="0" borderId="34" xfId="0" applyFont="1" applyBorder="1" applyAlignment="1">
      <alignment horizontal="center"/>
    </xf>
    <xf numFmtId="170" fontId="31" fillId="0" borderId="23" xfId="0" applyNumberFormat="1" applyFont="1" applyBorder="1" applyAlignment="1">
      <alignment horizontal="center"/>
    </xf>
    <xf numFmtId="170" fontId="31" fillId="0" borderId="34" xfId="0" applyNumberFormat="1" applyFont="1" applyBorder="1" applyAlignment="1">
      <alignment horizontal="center"/>
    </xf>
    <xf numFmtId="170" fontId="3" fillId="0" borderId="6" xfId="0" applyNumberFormat="1" applyFont="1" applyBorder="1" applyAlignment="1">
      <alignment horizontal="center" vertical="center"/>
    </xf>
    <xf numFmtId="170" fontId="3" fillId="0" borderId="6" xfId="0" applyNumberFormat="1" applyFont="1" applyBorder="1" applyAlignment="1">
      <alignment horizontal="center"/>
    </xf>
    <xf numFmtId="14" fontId="3" fillId="0" borderId="6" xfId="0" applyNumberFormat="1" applyFont="1" applyBorder="1" applyAlignment="1">
      <alignment horizontal="center"/>
    </xf>
    <xf numFmtId="0" fontId="3" fillId="37" borderId="6" xfId="0" applyFont="1" applyFill="1" applyBorder="1" applyAlignment="1">
      <alignment horizontal="center" vertical="center"/>
    </xf>
    <xf numFmtId="0" fontId="23" fillId="0" borderId="6" xfId="0" applyFont="1" applyBorder="1" applyAlignment="1">
      <alignment horizontal="center" vertical="center"/>
    </xf>
    <xf numFmtId="3" fontId="23" fillId="0" borderId="6" xfId="0" applyNumberFormat="1" applyFont="1" applyBorder="1" applyAlignment="1">
      <alignment horizontal="center" vertical="center"/>
    </xf>
    <xf numFmtId="0" fontId="8" fillId="0" borderId="1" xfId="0" applyFont="1" applyBorder="1" applyAlignment="1">
      <alignment horizontal="center" vertical="center"/>
    </xf>
    <xf numFmtId="0" fontId="8" fillId="0" borderId="36" xfId="0" applyFont="1" applyBorder="1" applyAlignment="1">
      <alignment horizontal="center" vertical="center"/>
    </xf>
    <xf numFmtId="0" fontId="8" fillId="0" borderId="9" xfId="0" applyFont="1" applyBorder="1" applyAlignment="1">
      <alignment horizontal="center" vertical="center"/>
    </xf>
    <xf numFmtId="0" fontId="3" fillId="0" borderId="23" xfId="0" applyFont="1" applyBorder="1" applyAlignment="1">
      <alignment horizontal="center" vertical="center"/>
    </xf>
    <xf numFmtId="9" fontId="3" fillId="0" borderId="11" xfId="0" applyNumberFormat="1" applyFont="1" applyBorder="1" applyAlignment="1">
      <alignment horizontal="center" vertical="center"/>
    </xf>
    <xf numFmtId="0" fontId="3" fillId="0" borderId="41" xfId="0" applyFont="1" applyBorder="1" applyAlignment="1">
      <alignment horizontal="center" vertical="center"/>
    </xf>
    <xf numFmtId="9" fontId="3" fillId="0" borderId="42" xfId="0" applyNumberFormat="1" applyFont="1" applyBorder="1" applyAlignment="1">
      <alignment horizontal="center" vertical="center"/>
    </xf>
    <xf numFmtId="0" fontId="3" fillId="0" borderId="0" xfId="0" applyFont="1" applyAlignment="1">
      <alignment horizontal="left" vertical="center" wrapText="1"/>
    </xf>
    <xf numFmtId="9" fontId="3" fillId="0" borderId="0" xfId="0" applyNumberFormat="1" applyFont="1" applyAlignment="1">
      <alignment horizontal="center" vertical="center"/>
    </xf>
    <xf numFmtId="9" fontId="3" fillId="0" borderId="13" xfId="0" applyNumberFormat="1" applyFont="1" applyBorder="1" applyAlignment="1">
      <alignment horizontal="center" vertical="center"/>
    </xf>
    <xf numFmtId="0" fontId="3" fillId="0" borderId="43" xfId="0" applyFont="1" applyBorder="1" applyAlignment="1">
      <alignment horizontal="center" vertical="center"/>
    </xf>
    <xf numFmtId="9" fontId="3" fillId="0" borderId="15" xfId="0" applyNumberFormat="1" applyFont="1" applyBorder="1" applyAlignment="1">
      <alignment horizontal="center" vertical="center"/>
    </xf>
    <xf numFmtId="0" fontId="8" fillId="0" borderId="44" xfId="0" applyFont="1" applyBorder="1" applyAlignment="1">
      <alignment horizontal="center" vertical="center"/>
    </xf>
    <xf numFmtId="0" fontId="8" fillId="0" borderId="45" xfId="0" applyFont="1" applyBorder="1" applyAlignment="1">
      <alignment horizontal="center" vertical="center" wrapText="1"/>
    </xf>
    <xf numFmtId="0" fontId="8" fillId="0" borderId="46" xfId="0" applyFont="1" applyBorder="1" applyAlignment="1">
      <alignment horizontal="center" vertical="center"/>
    </xf>
    <xf numFmtId="0" fontId="6" fillId="0" borderId="16" xfId="0" applyFont="1" applyBorder="1" applyAlignment="1">
      <alignment vertical="center"/>
    </xf>
    <xf numFmtId="0" fontId="3" fillId="0" borderId="47" xfId="0" applyFont="1" applyBorder="1" applyAlignment="1">
      <alignment horizontal="center" vertical="center"/>
    </xf>
    <xf numFmtId="0" fontId="3" fillId="0" borderId="17" xfId="0" applyFont="1" applyBorder="1" applyAlignment="1">
      <alignment horizontal="center" vertical="center"/>
    </xf>
    <xf numFmtId="0" fontId="6" fillId="0" borderId="12" xfId="0" applyFont="1" applyBorder="1" applyAlignment="1">
      <alignment vertical="center"/>
    </xf>
    <xf numFmtId="0" fontId="3" fillId="0" borderId="13" xfId="0" applyFont="1" applyBorder="1" applyAlignment="1">
      <alignment horizontal="center" vertical="center"/>
    </xf>
    <xf numFmtId="0" fontId="6" fillId="0" borderId="14" xfId="0" applyFont="1" applyBorder="1" applyAlignment="1">
      <alignment vertical="center"/>
    </xf>
    <xf numFmtId="0" fontId="3" fillId="0" borderId="15" xfId="0" applyFont="1" applyBorder="1" applyAlignment="1">
      <alignment horizontal="center" vertical="center"/>
    </xf>
    <xf numFmtId="0" fontId="3" fillId="0" borderId="0" xfId="0" applyFont="1" applyAlignment="1">
      <alignment wrapText="1"/>
    </xf>
    <xf numFmtId="0" fontId="34" fillId="0" borderId="0" xfId="0" applyFont="1" applyAlignment="1">
      <alignment vertical="center" wrapText="1"/>
    </xf>
    <xf numFmtId="0" fontId="35" fillId="0" borderId="0" xfId="0" applyFont="1" applyAlignment="1">
      <alignment horizontal="center"/>
    </xf>
    <xf numFmtId="0" fontId="6" fillId="0" borderId="0" xfId="0" applyFont="1" applyAlignment="1">
      <alignment horizontal="center"/>
    </xf>
    <xf numFmtId="0" fontId="3" fillId="10" borderId="6" xfId="0" applyFont="1" applyFill="1" applyBorder="1" applyAlignment="1">
      <alignment horizontal="center"/>
    </xf>
    <xf numFmtId="0" fontId="3" fillId="0" borderId="6" xfId="0" applyFont="1" applyBorder="1" applyAlignment="1">
      <alignment horizontal="center"/>
    </xf>
    <xf numFmtId="172" fontId="3" fillId="0" borderId="6" xfId="0" applyNumberFormat="1" applyFont="1" applyBorder="1" applyAlignment="1">
      <alignment horizontal="center"/>
    </xf>
    <xf numFmtId="171" fontId="3" fillId="0" borderId="6" xfId="0" applyNumberFormat="1" applyFont="1" applyBorder="1" applyAlignment="1">
      <alignment horizontal="center"/>
    </xf>
    <xf numFmtId="173" fontId="3" fillId="0" borderId="6" xfId="0" applyNumberFormat="1" applyFont="1" applyBorder="1" applyAlignment="1">
      <alignment horizontal="center"/>
    </xf>
    <xf numFmtId="174" fontId="3" fillId="0" borderId="6" xfId="0" applyNumberFormat="1" applyFont="1" applyBorder="1" applyAlignment="1">
      <alignment horizontal="center"/>
    </xf>
    <xf numFmtId="175" fontId="3" fillId="0" borderId="6" xfId="0" applyNumberFormat="1" applyFont="1" applyBorder="1" applyAlignment="1">
      <alignment horizontal="center"/>
    </xf>
    <xf numFmtId="0" fontId="3" fillId="40" borderId="6" xfId="0" applyFont="1" applyFill="1" applyBorder="1" applyAlignment="1">
      <alignment horizontal="center"/>
    </xf>
    <xf numFmtId="172" fontId="3" fillId="40" borderId="6" xfId="0" applyNumberFormat="1" applyFont="1" applyFill="1" applyBorder="1" applyAlignment="1">
      <alignment horizontal="center"/>
    </xf>
    <xf numFmtId="0" fontId="36" fillId="0" borderId="0" xfId="0" applyFont="1"/>
    <xf numFmtId="0" fontId="23" fillId="3" borderId="53" xfId="0" applyFont="1" applyFill="1" applyBorder="1" applyAlignment="1">
      <alignment horizontal="center" vertical="center"/>
    </xf>
    <xf numFmtId="3" fontId="23" fillId="3" borderId="53" xfId="0" applyNumberFormat="1" applyFont="1" applyFill="1" applyBorder="1" applyAlignment="1">
      <alignment horizontal="center" vertical="center"/>
    </xf>
    <xf numFmtId="0" fontId="3" fillId="0" borderId="29" xfId="0" applyFont="1" applyBorder="1" applyAlignment="1">
      <alignment horizontal="center"/>
    </xf>
    <xf numFmtId="9" fontId="3" fillId="0" borderId="6" xfId="0" applyNumberFormat="1" applyFont="1" applyBorder="1" applyAlignment="1">
      <alignment horizontal="center"/>
    </xf>
    <xf numFmtId="0" fontId="3" fillId="0" borderId="54" xfId="0" applyFont="1" applyBorder="1" applyAlignment="1">
      <alignment horizontal="center"/>
    </xf>
    <xf numFmtId="0" fontId="3" fillId="0" borderId="55" xfId="0" applyFont="1" applyBorder="1" applyAlignment="1">
      <alignment horizontal="center"/>
    </xf>
    <xf numFmtId="0" fontId="3" fillId="0" borderId="56" xfId="0" applyFont="1" applyBorder="1" applyAlignment="1">
      <alignment horizontal="center"/>
    </xf>
    <xf numFmtId="0" fontId="3" fillId="0" borderId="57" xfId="0" applyFont="1" applyBorder="1" applyAlignment="1">
      <alignment horizontal="center"/>
    </xf>
    <xf numFmtId="0" fontId="3" fillId="0" borderId="58" xfId="0" applyFont="1" applyBorder="1" applyAlignment="1">
      <alignment horizontal="center"/>
    </xf>
    <xf numFmtId="0" fontId="3" fillId="0" borderId="16" xfId="0" applyFont="1" applyBorder="1" applyAlignment="1">
      <alignment horizontal="center"/>
    </xf>
    <xf numFmtId="0" fontId="3" fillId="0" borderId="47" xfId="0" applyFont="1" applyBorder="1" applyAlignment="1">
      <alignment horizontal="center"/>
    </xf>
    <xf numFmtId="0" fontId="3" fillId="0" borderId="50" xfId="0" applyFont="1" applyBorder="1" applyAlignment="1">
      <alignment horizontal="center"/>
    </xf>
    <xf numFmtId="0" fontId="8" fillId="0" borderId="59" xfId="0" applyFont="1" applyBorder="1" applyAlignment="1">
      <alignment horizontal="center" vertical="center"/>
    </xf>
    <xf numFmtId="0" fontId="3" fillId="0" borderId="38" xfId="0" applyFont="1" applyBorder="1" applyAlignment="1">
      <alignment horizontal="center"/>
    </xf>
    <xf numFmtId="0" fontId="3" fillId="0" borderId="12" xfId="0" applyFont="1" applyBorder="1" applyAlignment="1">
      <alignment horizontal="center"/>
    </xf>
    <xf numFmtId="0" fontId="3" fillId="0" borderId="4" xfId="0" applyFont="1" applyBorder="1" applyAlignment="1">
      <alignment horizontal="center"/>
    </xf>
    <xf numFmtId="0" fontId="8" fillId="0" borderId="60" xfId="0" applyFont="1" applyBorder="1" applyAlignment="1">
      <alignment horizontal="center" vertical="center"/>
    </xf>
    <xf numFmtId="0" fontId="3" fillId="0" borderId="39" xfId="0" applyFont="1" applyBorder="1" applyAlignment="1">
      <alignment horizontal="center"/>
    </xf>
    <xf numFmtId="0" fontId="3" fillId="0" borderId="14" xfId="0" applyFont="1" applyBorder="1" applyAlignment="1">
      <alignment horizontal="center"/>
    </xf>
    <xf numFmtId="0" fontId="3" fillId="0" borderId="43" xfId="0" applyFont="1" applyBorder="1" applyAlignment="1">
      <alignment horizontal="center"/>
    </xf>
    <xf numFmtId="0" fontId="3" fillId="0" borderId="48" xfId="0" applyFont="1" applyBorder="1" applyAlignment="1">
      <alignment horizontal="center"/>
    </xf>
    <xf numFmtId="0" fontId="8" fillId="0" borderId="61" xfId="0" applyFont="1" applyBorder="1" applyAlignment="1">
      <alignment horizontal="center" vertical="center"/>
    </xf>
    <xf numFmtId="0" fontId="8" fillId="0" borderId="62" xfId="0" applyFont="1" applyBorder="1" applyAlignment="1">
      <alignment horizontal="center" vertical="center"/>
    </xf>
    <xf numFmtId="0" fontId="8" fillId="0" borderId="63" xfId="0" applyFont="1" applyBorder="1" applyAlignment="1">
      <alignment horizontal="center" vertical="center"/>
    </xf>
    <xf numFmtId="0" fontId="3" fillId="10" borderId="6" xfId="0" applyFont="1" applyFill="1" applyBorder="1" applyAlignment="1">
      <alignment horizontal="center" vertical="center"/>
    </xf>
    <xf numFmtId="3" fontId="23" fillId="3" borderId="9" xfId="0" applyNumberFormat="1" applyFont="1" applyFill="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20" xfId="0" applyFont="1" applyBorder="1" applyAlignment="1">
      <alignment horizontal="center"/>
    </xf>
    <xf numFmtId="0" fontId="5" fillId="3" borderId="19" xfId="0" applyFont="1" applyFill="1" applyBorder="1" applyAlignment="1">
      <alignment vertical="center"/>
    </xf>
    <xf numFmtId="0" fontId="29" fillId="3" borderId="8"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0" borderId="0" xfId="0" applyFont="1"/>
    <xf numFmtId="0" fontId="38" fillId="0" borderId="5" xfId="0" applyFont="1" applyBorder="1" applyAlignment="1">
      <alignment horizontal="center"/>
    </xf>
    <xf numFmtId="0" fontId="8" fillId="0" borderId="0" xfId="0" applyFont="1" applyAlignment="1">
      <alignment horizontal="center"/>
    </xf>
    <xf numFmtId="0" fontId="3" fillId="37" borderId="27" xfId="0" applyFont="1" applyFill="1" applyBorder="1" applyAlignment="1">
      <alignment horizontal="center" vertical="center"/>
    </xf>
    <xf numFmtId="0" fontId="3" fillId="10" borderId="27" xfId="0" applyFont="1" applyFill="1" applyBorder="1" applyAlignment="1">
      <alignment horizontal="center"/>
    </xf>
    <xf numFmtId="0" fontId="31" fillId="0" borderId="34" xfId="0" applyFont="1" applyBorder="1"/>
    <xf numFmtId="0" fontId="3" fillId="10" borderId="66" xfId="0" applyFont="1" applyFill="1" applyBorder="1" applyAlignment="1">
      <alignment horizontal="center"/>
    </xf>
    <xf numFmtId="176" fontId="3" fillId="39" borderId="27" xfId="0" applyNumberFormat="1" applyFont="1" applyFill="1" applyBorder="1" applyAlignment="1">
      <alignment horizontal="center"/>
    </xf>
    <xf numFmtId="0" fontId="3" fillId="0" borderId="67" xfId="0" applyFont="1" applyBorder="1" applyAlignment="1">
      <alignment horizontal="center"/>
    </xf>
    <xf numFmtId="176" fontId="3" fillId="3" borderId="68" xfId="0" applyNumberFormat="1" applyFont="1" applyFill="1" applyBorder="1" applyAlignment="1">
      <alignment horizontal="center"/>
    </xf>
    <xf numFmtId="0" fontId="40" fillId="0" borderId="0" xfId="0" applyFont="1" applyAlignment="1">
      <alignment horizontal="center"/>
    </xf>
    <xf numFmtId="0" fontId="40" fillId="0" borderId="0" xfId="0" applyFont="1"/>
    <xf numFmtId="176" fontId="3" fillId="39" borderId="6" xfId="0" applyNumberFormat="1" applyFont="1" applyFill="1" applyBorder="1" applyAlignment="1">
      <alignment horizontal="center"/>
    </xf>
    <xf numFmtId="0" fontId="31" fillId="0" borderId="5" xfId="0" applyFont="1" applyBorder="1"/>
    <xf numFmtId="0" fontId="32" fillId="0" borderId="0" xfId="0" applyFont="1"/>
    <xf numFmtId="0" fontId="3" fillId="0" borderId="5" xfId="0" applyFont="1" applyBorder="1"/>
    <xf numFmtId="176" fontId="31" fillId="41" borderId="6" xfId="0" applyNumberFormat="1" applyFont="1" applyFill="1" applyBorder="1" applyAlignment="1">
      <alignment horizontal="center"/>
    </xf>
    <xf numFmtId="176" fontId="31" fillId="41" borderId="23" xfId="0" applyNumberFormat="1" applyFont="1" applyFill="1" applyBorder="1" applyAlignment="1">
      <alignment horizontal="center"/>
    </xf>
    <xf numFmtId="176" fontId="31" fillId="0" borderId="23" xfId="0" applyNumberFormat="1" applyFont="1" applyBorder="1" applyAlignment="1">
      <alignment horizontal="center"/>
    </xf>
    <xf numFmtId="0" fontId="3" fillId="0" borderId="34" xfId="0" applyFont="1" applyBorder="1"/>
    <xf numFmtId="0" fontId="3" fillId="0" borderId="33" xfId="0" applyFont="1" applyBorder="1"/>
    <xf numFmtId="0" fontId="3" fillId="0" borderId="31" xfId="0" applyFont="1" applyBorder="1"/>
    <xf numFmtId="0" fontId="3" fillId="0" borderId="7" xfId="0" applyFont="1" applyBorder="1"/>
    <xf numFmtId="0" fontId="3" fillId="0" borderId="49" xfId="0" applyFont="1" applyBorder="1"/>
    <xf numFmtId="0" fontId="3" fillId="0" borderId="40" xfId="0" applyFont="1" applyBorder="1"/>
    <xf numFmtId="0" fontId="3" fillId="0" borderId="43" xfId="0" applyFont="1" applyBorder="1"/>
    <xf numFmtId="176" fontId="3" fillId="39" borderId="43" xfId="0" applyNumberFormat="1" applyFont="1" applyFill="1" applyBorder="1" applyAlignment="1">
      <alignment horizontal="center"/>
    </xf>
    <xf numFmtId="0" fontId="3" fillId="0" borderId="69" xfId="0" applyFont="1" applyBorder="1" applyAlignment="1">
      <alignment horizontal="center"/>
    </xf>
    <xf numFmtId="0" fontId="31" fillId="0" borderId="0" xfId="0" applyFont="1"/>
    <xf numFmtId="176" fontId="8" fillId="3" borderId="62" xfId="0" applyNumberFormat="1" applyFont="1" applyFill="1" applyBorder="1" applyAlignment="1">
      <alignment horizontal="center" vertical="center"/>
    </xf>
    <xf numFmtId="0" fontId="38" fillId="43" borderId="6" xfId="0" applyFont="1" applyFill="1" applyBorder="1" applyAlignment="1">
      <alignment horizontal="center"/>
    </xf>
    <xf numFmtId="0" fontId="38" fillId="43" borderId="5" xfId="0" applyFont="1" applyFill="1" applyBorder="1" applyAlignment="1">
      <alignment horizontal="center"/>
    </xf>
    <xf numFmtId="0" fontId="40" fillId="0" borderId="30" xfId="0" applyFont="1" applyBorder="1"/>
    <xf numFmtId="0" fontId="8" fillId="0" borderId="70" xfId="0" applyFont="1" applyBorder="1" applyAlignment="1">
      <alignment horizontal="center"/>
    </xf>
    <xf numFmtId="0" fontId="8" fillId="0" borderId="55" xfId="0" applyFont="1" applyBorder="1" applyAlignment="1">
      <alignment horizontal="center"/>
    </xf>
    <xf numFmtId="0" fontId="8" fillId="0" borderId="71" xfId="0" applyFont="1" applyBorder="1" applyAlignment="1">
      <alignment horizontal="center"/>
    </xf>
    <xf numFmtId="0" fontId="8" fillId="0" borderId="57" xfId="0" applyFont="1" applyBorder="1" applyAlignment="1">
      <alignment horizontal="center"/>
    </xf>
    <xf numFmtId="0" fontId="8" fillId="0" borderId="59" xfId="0" applyFont="1" applyBorder="1" applyAlignment="1">
      <alignment horizontal="center"/>
    </xf>
    <xf numFmtId="0" fontId="8" fillId="0" borderId="60" xfId="0" applyFont="1" applyBorder="1" applyAlignment="1">
      <alignment horizontal="center"/>
    </xf>
    <xf numFmtId="0" fontId="8" fillId="0" borderId="72" xfId="0" applyFont="1" applyBorder="1" applyAlignment="1">
      <alignment horizontal="center"/>
    </xf>
    <xf numFmtId="0" fontId="8" fillId="0" borderId="62" xfId="0" applyFont="1" applyBorder="1" applyAlignment="1">
      <alignment horizontal="center"/>
    </xf>
    <xf numFmtId="0" fontId="8" fillId="0" borderId="8" xfId="0" applyFont="1" applyBorder="1" applyAlignment="1">
      <alignment horizontal="center"/>
    </xf>
    <xf numFmtId="0" fontId="8" fillId="0" borderId="36" xfId="0" applyFont="1" applyBorder="1" applyAlignment="1">
      <alignment horizontal="center"/>
    </xf>
    <xf numFmtId="0" fontId="8" fillId="0" borderId="73" xfId="0" applyFont="1" applyBorder="1" applyAlignment="1">
      <alignment horizontal="center"/>
    </xf>
    <xf numFmtId="0" fontId="27" fillId="0" borderId="0" xfId="0" applyFont="1"/>
    <xf numFmtId="0" fontId="5" fillId="0" borderId="0" xfId="0" applyFont="1" applyAlignment="1">
      <alignment horizontal="left" vertical="center"/>
    </xf>
    <xf numFmtId="0" fontId="8" fillId="3" borderId="36" xfId="0" applyFont="1" applyFill="1" applyBorder="1" applyAlignment="1">
      <alignment horizontal="center" vertical="center"/>
    </xf>
    <xf numFmtId="0" fontId="42" fillId="0" borderId="0" xfId="0" applyFont="1" applyAlignment="1">
      <alignment vertical="center"/>
    </xf>
    <xf numFmtId="0" fontId="43" fillId="0" borderId="8" xfId="0" applyFont="1" applyBorder="1" applyAlignment="1">
      <alignment horizontal="center" vertical="center"/>
    </xf>
    <xf numFmtId="0" fontId="43" fillId="0" borderId="36" xfId="0" applyFont="1" applyBorder="1" applyAlignment="1">
      <alignment horizontal="center" vertical="center"/>
    </xf>
    <xf numFmtId="0" fontId="43" fillId="0" borderId="9" xfId="0" applyFont="1" applyBorder="1" applyAlignment="1">
      <alignment horizontal="center" vertical="center"/>
    </xf>
    <xf numFmtId="0" fontId="3" fillId="10" borderId="74" xfId="0" applyFont="1" applyFill="1" applyBorder="1" applyAlignment="1">
      <alignment horizontal="center" vertical="center"/>
    </xf>
    <xf numFmtId="3" fontId="3" fillId="0" borderId="6" xfId="0" applyNumberFormat="1" applyFont="1" applyBorder="1" applyAlignment="1">
      <alignment horizontal="center" vertical="center"/>
    </xf>
    <xf numFmtId="171" fontId="3" fillId="3" borderId="6" xfId="0" applyNumberFormat="1" applyFont="1" applyFill="1" applyBorder="1" applyAlignment="1">
      <alignment horizontal="center" vertical="center"/>
    </xf>
    <xf numFmtId="0" fontId="44" fillId="0" borderId="0" xfId="0" applyFont="1"/>
    <xf numFmtId="0" fontId="5" fillId="0" borderId="6" xfId="0" applyFont="1" applyBorder="1" applyAlignment="1">
      <alignment horizontal="center"/>
    </xf>
    <xf numFmtId="3" fontId="45" fillId="0" borderId="6" xfId="0" applyNumberFormat="1" applyFont="1" applyBorder="1" applyAlignment="1">
      <alignment horizontal="center"/>
    </xf>
    <xf numFmtId="0" fontId="45" fillId="0" borderId="6" xfId="0" applyFont="1" applyBorder="1" applyAlignment="1">
      <alignment horizontal="center"/>
    </xf>
    <xf numFmtId="171" fontId="31" fillId="0" borderId="23" xfId="0" applyNumberFormat="1" applyFont="1" applyBorder="1" applyAlignment="1">
      <alignment horizontal="center"/>
    </xf>
    <xf numFmtId="0" fontId="45" fillId="0" borderId="6" xfId="0" quotePrefix="1" applyFont="1" applyBorder="1" applyAlignment="1">
      <alignment horizontal="center"/>
    </xf>
    <xf numFmtId="0" fontId="30" fillId="0" borderId="6" xfId="0" applyFont="1" applyBorder="1" applyAlignment="1">
      <alignment horizontal="center"/>
    </xf>
    <xf numFmtId="0" fontId="46" fillId="0" borderId="6" xfId="0" applyFont="1" applyBorder="1" applyAlignment="1">
      <alignment horizontal="center"/>
    </xf>
    <xf numFmtId="0" fontId="47" fillId="0" borderId="6" xfId="0" applyFont="1" applyBorder="1" applyAlignment="1">
      <alignment horizontal="left"/>
    </xf>
    <xf numFmtId="171" fontId="46" fillId="0" borderId="6" xfId="0" applyNumberFormat="1" applyFont="1" applyBorder="1" applyAlignment="1">
      <alignment horizontal="center"/>
    </xf>
    <xf numFmtId="3" fontId="31" fillId="0" borderId="23" xfId="0" applyNumberFormat="1" applyFont="1" applyBorder="1" applyAlignment="1">
      <alignment horizontal="center"/>
    </xf>
    <xf numFmtId="0" fontId="31" fillId="0" borderId="6" xfId="0" applyFont="1" applyBorder="1" applyAlignment="1">
      <alignment horizontal="center" vertical="center"/>
    </xf>
    <xf numFmtId="171" fontId="3" fillId="0" borderId="0" xfId="0" applyNumberFormat="1" applyFont="1" applyAlignment="1">
      <alignment horizontal="center"/>
    </xf>
    <xf numFmtId="3" fontId="23" fillId="3" borderId="62" xfId="0" applyNumberFormat="1" applyFont="1" applyFill="1" applyBorder="1" applyAlignment="1">
      <alignment horizontal="center"/>
    </xf>
    <xf numFmtId="9" fontId="3" fillId="0" borderId="0" xfId="0" applyNumberFormat="1" applyFont="1" applyAlignment="1">
      <alignment horizontal="center"/>
    </xf>
    <xf numFmtId="0" fontId="8" fillId="0" borderId="8" xfId="0" applyFont="1" applyBorder="1" applyAlignment="1">
      <alignment horizontal="center" vertical="center"/>
    </xf>
    <xf numFmtId="0" fontId="8" fillId="0" borderId="73" xfId="0" applyFont="1" applyBorder="1" applyAlignment="1">
      <alignment horizontal="center" vertical="center"/>
    </xf>
    <xf numFmtId="0" fontId="8" fillId="0" borderId="70" xfId="0" applyFont="1" applyBorder="1" applyAlignment="1">
      <alignment horizontal="center" vertical="center"/>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8" fillId="0" borderId="75" xfId="0" applyFont="1" applyBorder="1" applyAlignment="1">
      <alignment horizontal="center" vertical="center"/>
    </xf>
    <xf numFmtId="0" fontId="3" fillId="0" borderId="6" xfId="0" applyFont="1" applyBorder="1"/>
    <xf numFmtId="3" fontId="3" fillId="0" borderId="23" xfId="0" applyNumberFormat="1" applyFont="1" applyBorder="1"/>
    <xf numFmtId="3" fontId="3" fillId="0" borderId="32" xfId="0" applyNumberFormat="1" applyFont="1" applyBorder="1"/>
    <xf numFmtId="3" fontId="8" fillId="0" borderId="37" xfId="0" applyNumberFormat="1" applyFont="1" applyBorder="1"/>
    <xf numFmtId="3" fontId="3" fillId="0" borderId="6" xfId="0" applyNumberFormat="1" applyFont="1" applyBorder="1"/>
    <xf numFmtId="3" fontId="3" fillId="0" borderId="4" xfId="0" applyNumberFormat="1" applyFont="1" applyBorder="1"/>
    <xf numFmtId="3" fontId="8" fillId="0" borderId="38" xfId="0" applyNumberFormat="1" applyFont="1" applyBorder="1"/>
    <xf numFmtId="0" fontId="3" fillId="0" borderId="20" xfId="0" applyFont="1" applyBorder="1"/>
    <xf numFmtId="3" fontId="3" fillId="0" borderId="20" xfId="0" applyNumberFormat="1" applyFont="1" applyBorder="1"/>
    <xf numFmtId="3" fontId="3" fillId="0" borderId="29" xfId="0" applyNumberFormat="1" applyFont="1" applyBorder="1"/>
    <xf numFmtId="3" fontId="8" fillId="0" borderId="64" xfId="0" applyNumberFormat="1" applyFont="1" applyBorder="1"/>
    <xf numFmtId="0" fontId="8" fillId="0" borderId="8" xfId="0" applyFont="1" applyBorder="1"/>
    <xf numFmtId="3" fontId="8" fillId="0" borderId="36" xfId="0" applyNumberFormat="1" applyFont="1" applyBorder="1"/>
    <xf numFmtId="3" fontId="8" fillId="0" borderId="73" xfId="0" applyNumberFormat="1" applyFont="1" applyBorder="1"/>
    <xf numFmtId="3" fontId="8" fillId="0" borderId="73" xfId="0" applyNumberFormat="1" applyFont="1" applyBorder="1" applyAlignment="1">
      <alignment horizontal="left" vertical="center"/>
    </xf>
    <xf numFmtId="0" fontId="8" fillId="0" borderId="9" xfId="0" applyFont="1" applyBorder="1"/>
    <xf numFmtId="0" fontId="48" fillId="47" borderId="77" xfId="0" applyFont="1" applyFill="1" applyBorder="1" applyAlignment="1">
      <alignment horizontal="left" vertical="center"/>
    </xf>
    <xf numFmtId="0" fontId="49" fillId="47" borderId="78" xfId="0" applyFont="1" applyFill="1" applyBorder="1" applyAlignment="1">
      <alignment horizontal="center" vertical="center"/>
    </xf>
    <xf numFmtId="0" fontId="5" fillId="47" borderId="78" xfId="0" applyFont="1" applyFill="1" applyBorder="1" applyAlignment="1">
      <alignment horizontal="center"/>
    </xf>
    <xf numFmtId="0" fontId="5" fillId="47" borderId="79" xfId="0" applyFont="1" applyFill="1" applyBorder="1" applyAlignment="1">
      <alignment horizontal="center"/>
    </xf>
    <xf numFmtId="0" fontId="50" fillId="47" borderId="80" xfId="0" applyFont="1" applyFill="1" applyBorder="1" applyAlignment="1">
      <alignment horizontal="center" vertical="center"/>
    </xf>
    <xf numFmtId="0" fontId="51" fillId="47" borderId="19" xfId="0" applyFont="1" applyFill="1" applyBorder="1" applyAlignment="1">
      <alignment horizontal="center" vertical="center"/>
    </xf>
    <xf numFmtId="0" fontId="5" fillId="47" borderId="19" xfId="0" applyFont="1" applyFill="1" applyBorder="1" applyAlignment="1">
      <alignment horizontal="center"/>
    </xf>
    <xf numFmtId="0" fontId="5" fillId="47" borderId="81" xfId="0" applyFont="1" applyFill="1" applyBorder="1" applyAlignment="1">
      <alignment horizontal="center"/>
    </xf>
    <xf numFmtId="0" fontId="52" fillId="47" borderId="80" xfId="0" applyFont="1" applyFill="1" applyBorder="1"/>
    <xf numFmtId="0" fontId="52" fillId="47" borderId="19" xfId="0" applyFont="1" applyFill="1" applyBorder="1"/>
    <xf numFmtId="0" fontId="52" fillId="47" borderId="19" xfId="0" applyFont="1" applyFill="1" applyBorder="1" applyAlignment="1">
      <alignment horizontal="left"/>
    </xf>
    <xf numFmtId="0" fontId="52" fillId="47" borderId="81" xfId="0" applyFont="1" applyFill="1" applyBorder="1" applyAlignment="1">
      <alignment horizontal="left"/>
    </xf>
    <xf numFmtId="0" fontId="52" fillId="47" borderId="82" xfId="0" applyFont="1" applyFill="1" applyBorder="1" applyAlignment="1">
      <alignment horizontal="left"/>
    </xf>
    <xf numFmtId="0" fontId="52" fillId="47" borderId="83" xfId="0" applyFont="1" applyFill="1" applyBorder="1" applyAlignment="1">
      <alignment horizontal="left"/>
    </xf>
    <xf numFmtId="0" fontId="52" fillId="47" borderId="84" xfId="0" applyFont="1" applyFill="1" applyBorder="1" applyAlignment="1">
      <alignment horizontal="left"/>
    </xf>
    <xf numFmtId="0" fontId="8" fillId="3" borderId="8"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23" fillId="3" borderId="85" xfId="0" applyFont="1" applyFill="1" applyBorder="1" applyAlignment="1">
      <alignment horizontal="center" vertical="center" wrapText="1"/>
    </xf>
    <xf numFmtId="0" fontId="23" fillId="3" borderId="85" xfId="0" applyFont="1" applyFill="1" applyBorder="1" applyAlignment="1">
      <alignment horizontal="center" vertical="center"/>
    </xf>
    <xf numFmtId="0" fontId="23" fillId="3" borderId="36" xfId="0" applyFont="1" applyFill="1" applyBorder="1" applyAlignment="1">
      <alignment horizontal="center" vertical="center"/>
    </xf>
    <xf numFmtId="0" fontId="23" fillId="48" borderId="53" xfId="0" applyFont="1" applyFill="1" applyBorder="1" applyAlignment="1">
      <alignment horizontal="center" vertical="center"/>
    </xf>
    <xf numFmtId="0" fontId="3" fillId="37" borderId="86" xfId="0" applyFont="1" applyFill="1" applyBorder="1" applyAlignment="1">
      <alignment horizontal="center" vertical="center"/>
    </xf>
    <xf numFmtId="0" fontId="3" fillId="10" borderId="27" xfId="0" applyFont="1" applyFill="1" applyBorder="1"/>
    <xf numFmtId="0" fontId="3" fillId="0" borderId="23" xfId="0" applyFont="1" applyBorder="1"/>
    <xf numFmtId="0" fontId="3" fillId="10" borderId="26" xfId="0" applyFont="1" applyFill="1" applyBorder="1"/>
    <xf numFmtId="170" fontId="3" fillId="0" borderId="23" xfId="0" applyNumberFormat="1" applyFont="1" applyBorder="1" applyAlignment="1">
      <alignment horizontal="center" vertical="center"/>
    </xf>
    <xf numFmtId="3" fontId="3" fillId="0" borderId="34" xfId="0" applyNumberFormat="1" applyFont="1" applyBorder="1" applyAlignment="1">
      <alignment horizontal="center"/>
    </xf>
    <xf numFmtId="3" fontId="3" fillId="0" borderId="23" xfId="0" applyNumberFormat="1" applyFont="1" applyBorder="1" applyAlignment="1">
      <alignment horizontal="center"/>
    </xf>
    <xf numFmtId="177" fontId="3" fillId="3" borderId="6" xfId="0" applyNumberFormat="1" applyFont="1" applyFill="1" applyBorder="1" applyAlignment="1">
      <alignment horizontal="center"/>
    </xf>
    <xf numFmtId="0" fontId="3" fillId="3" borderId="6" xfId="0" applyFont="1" applyFill="1" applyBorder="1" applyAlignment="1">
      <alignment horizontal="center"/>
    </xf>
    <xf numFmtId="3" fontId="3" fillId="48" borderId="6" xfId="0" applyNumberFormat="1" applyFont="1" applyFill="1" applyBorder="1" applyAlignment="1">
      <alignment horizontal="center"/>
    </xf>
    <xf numFmtId="0" fontId="53" fillId="0" borderId="23" xfId="0" applyFont="1" applyBorder="1" applyAlignment="1">
      <alignment horizontal="center"/>
    </xf>
    <xf numFmtId="0" fontId="53" fillId="10" borderId="26" xfId="0" applyFont="1" applyFill="1" applyBorder="1" applyAlignment="1">
      <alignment horizontal="center"/>
    </xf>
    <xf numFmtId="0" fontId="54" fillId="0" borderId="6" xfId="0" applyFont="1" applyBorder="1" applyAlignment="1">
      <alignment horizontal="center"/>
    </xf>
    <xf numFmtId="178" fontId="3" fillId="3" borderId="6" xfId="0" applyNumberFormat="1" applyFont="1" applyFill="1" applyBorder="1" applyAlignment="1">
      <alignment horizontal="center"/>
    </xf>
    <xf numFmtId="0" fontId="3" fillId="37" borderId="87" xfId="0" applyFont="1" applyFill="1" applyBorder="1" applyAlignment="1">
      <alignment horizontal="center" vertical="center"/>
    </xf>
    <xf numFmtId="3" fontId="3" fillId="0" borderId="6" xfId="0" applyNumberFormat="1" applyFont="1" applyBorder="1" applyAlignment="1">
      <alignment horizontal="center"/>
    </xf>
    <xf numFmtId="179" fontId="3" fillId="3" borderId="6" xfId="0" applyNumberFormat="1" applyFont="1" applyFill="1" applyBorder="1" applyAlignment="1">
      <alignment horizontal="center"/>
    </xf>
    <xf numFmtId="0" fontId="3" fillId="10" borderId="6" xfId="0" applyFont="1" applyFill="1" applyBorder="1"/>
    <xf numFmtId="14" fontId="54" fillId="0" borderId="6" xfId="0" applyNumberFormat="1" applyFont="1" applyBorder="1" applyAlignment="1">
      <alignment horizontal="center"/>
    </xf>
    <xf numFmtId="0" fontId="3" fillId="10" borderId="88" xfId="0" applyFont="1" applyFill="1" applyBorder="1"/>
    <xf numFmtId="14" fontId="3" fillId="0" borderId="23" xfId="0" applyNumberFormat="1" applyFont="1" applyBorder="1" applyAlignment="1">
      <alignment horizontal="center" vertical="center"/>
    </xf>
    <xf numFmtId="0" fontId="3" fillId="0" borderId="23" xfId="0" applyFont="1" applyBorder="1" applyAlignment="1">
      <alignment horizontal="center"/>
    </xf>
    <xf numFmtId="173" fontId="3" fillId="0" borderId="23" xfId="0" applyNumberFormat="1" applyFont="1" applyBorder="1" applyAlignment="1">
      <alignment horizontal="center" vertical="center"/>
    </xf>
    <xf numFmtId="173" fontId="31" fillId="0" borderId="23" xfId="0" applyNumberFormat="1" applyFont="1" applyBorder="1" applyAlignment="1">
      <alignment horizontal="center" vertical="center"/>
    </xf>
    <xf numFmtId="0" fontId="31" fillId="0" borderId="23" xfId="0" applyFont="1" applyBorder="1"/>
    <xf numFmtId="0" fontId="31" fillId="0" borderId="23" xfId="0" applyFont="1" applyBorder="1" applyAlignment="1">
      <alignment horizontal="center" vertical="center"/>
    </xf>
    <xf numFmtId="0" fontId="23" fillId="48" borderId="8" xfId="0" applyFont="1" applyFill="1" applyBorder="1" applyAlignment="1">
      <alignment horizontal="center"/>
    </xf>
    <xf numFmtId="3" fontId="23" fillId="3" borderId="36" xfId="0" applyNumberFormat="1" applyFont="1" applyFill="1" applyBorder="1" applyAlignment="1">
      <alignment horizontal="center"/>
    </xf>
    <xf numFmtId="177" fontId="23" fillId="3" borderId="36" xfId="0" applyNumberFormat="1" applyFont="1" applyFill="1" applyBorder="1" applyAlignment="1">
      <alignment horizontal="center"/>
    </xf>
    <xf numFmtId="0" fontId="23" fillId="3" borderId="36" xfId="0" applyFont="1" applyFill="1" applyBorder="1" applyAlignment="1">
      <alignment horizontal="center"/>
    </xf>
    <xf numFmtId="3" fontId="23" fillId="48" borderId="9" xfId="0" applyNumberFormat="1" applyFont="1" applyFill="1" applyBorder="1" applyAlignment="1">
      <alignment horizontal="center"/>
    </xf>
    <xf numFmtId="0" fontId="3" fillId="0" borderId="33" xfId="0" applyFont="1" applyBorder="1" applyAlignment="1">
      <alignment horizontal="center"/>
    </xf>
    <xf numFmtId="0" fontId="55" fillId="50" borderId="77" xfId="0" applyFont="1" applyFill="1" applyBorder="1" applyAlignment="1">
      <alignment horizontal="center"/>
    </xf>
    <xf numFmtId="0" fontId="55" fillId="50" borderId="78" xfId="0" applyFont="1" applyFill="1" applyBorder="1" applyAlignment="1">
      <alignment horizontal="center"/>
    </xf>
    <xf numFmtId="3" fontId="55" fillId="50" borderId="47" xfId="0" applyNumberFormat="1" applyFont="1" applyFill="1" applyBorder="1" applyAlignment="1">
      <alignment horizontal="center"/>
    </xf>
    <xf numFmtId="9" fontId="55" fillId="50" borderId="17" xfId="0" applyNumberFormat="1" applyFont="1" applyFill="1" applyBorder="1" applyAlignment="1">
      <alignment horizontal="center"/>
    </xf>
    <xf numFmtId="0" fontId="56" fillId="51" borderId="89" xfId="0" applyFont="1" applyFill="1" applyBorder="1" applyAlignment="1">
      <alignment horizontal="center"/>
    </xf>
    <xf numFmtId="0" fontId="56" fillId="51" borderId="90" xfId="0" applyFont="1" applyFill="1" applyBorder="1" applyAlignment="1">
      <alignment horizontal="center"/>
    </xf>
    <xf numFmtId="3" fontId="56" fillId="51" borderId="6" xfId="0" applyNumberFormat="1" applyFont="1" applyFill="1" applyBorder="1" applyAlignment="1">
      <alignment horizontal="center"/>
    </xf>
    <xf numFmtId="9" fontId="56" fillId="51" borderId="13" xfId="0" applyNumberFormat="1" applyFont="1" applyFill="1" applyBorder="1" applyAlignment="1">
      <alignment horizontal="center"/>
    </xf>
    <xf numFmtId="0" fontId="56" fillId="46" borderId="91" xfId="0" applyFont="1" applyFill="1" applyBorder="1" applyAlignment="1">
      <alignment horizontal="center"/>
    </xf>
    <xf numFmtId="0" fontId="56" fillId="46" borderId="92" xfId="0" applyFont="1" applyFill="1" applyBorder="1" applyAlignment="1">
      <alignment horizontal="center"/>
    </xf>
    <xf numFmtId="3" fontId="56" fillId="46" borderId="6" xfId="0" applyNumberFormat="1" applyFont="1" applyFill="1" applyBorder="1" applyAlignment="1">
      <alignment horizontal="center"/>
    </xf>
    <xf numFmtId="9" fontId="56" fillId="46" borderId="13" xfId="0" applyNumberFormat="1" applyFont="1" applyFill="1" applyBorder="1" applyAlignment="1">
      <alignment horizontal="center"/>
    </xf>
    <xf numFmtId="0" fontId="56" fillId="47" borderId="82" xfId="0" applyFont="1" applyFill="1" applyBorder="1" applyAlignment="1">
      <alignment horizontal="center"/>
    </xf>
    <xf numFmtId="0" fontId="56" fillId="47" borderId="83" xfId="0" applyFont="1" applyFill="1" applyBorder="1" applyAlignment="1">
      <alignment horizontal="center"/>
    </xf>
    <xf numFmtId="3" fontId="56" fillId="47" borderId="43" xfId="0" applyNumberFormat="1" applyFont="1" applyFill="1" applyBorder="1" applyAlignment="1">
      <alignment horizontal="center"/>
    </xf>
    <xf numFmtId="9" fontId="56" fillId="47" borderId="15" xfId="0" applyNumberFormat="1" applyFont="1" applyFill="1" applyBorder="1" applyAlignment="1">
      <alignment horizontal="center"/>
    </xf>
    <xf numFmtId="180" fontId="45" fillId="3" borderId="17" xfId="0" applyNumberFormat="1" applyFont="1" applyFill="1" applyBorder="1" applyAlignment="1">
      <alignment horizontal="center"/>
    </xf>
    <xf numFmtId="180" fontId="45" fillId="3" borderId="13" xfId="0" applyNumberFormat="1" applyFont="1" applyFill="1" applyBorder="1" applyAlignment="1">
      <alignment horizontal="center"/>
    </xf>
    <xf numFmtId="180" fontId="45" fillId="3" borderId="15" xfId="0" applyNumberFormat="1" applyFont="1" applyFill="1" applyBorder="1" applyAlignment="1">
      <alignment horizontal="center"/>
    </xf>
    <xf numFmtId="0" fontId="1" fillId="17" borderId="0" xfId="0" applyFont="1" applyFill="1" applyAlignment="1">
      <alignment horizontal="center" vertical="center"/>
    </xf>
    <xf numFmtId="0" fontId="3" fillId="0" borderId="95" xfId="0" applyFont="1" applyBorder="1"/>
    <xf numFmtId="0" fontId="29" fillId="3" borderId="16" xfId="0" applyFont="1" applyFill="1" applyBorder="1" applyAlignment="1">
      <alignment horizontal="center" vertical="center" wrapText="1"/>
    </xf>
    <xf numFmtId="0" fontId="8" fillId="3" borderId="47" xfId="0" applyFont="1" applyFill="1" applyBorder="1" applyAlignment="1">
      <alignment horizontal="center" vertical="center" wrapText="1"/>
    </xf>
    <xf numFmtId="0" fontId="8" fillId="3" borderId="47" xfId="0" applyFont="1" applyFill="1" applyBorder="1" applyAlignment="1">
      <alignment horizontal="center" vertical="center"/>
    </xf>
    <xf numFmtId="0" fontId="8" fillId="3" borderId="1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36" xfId="0" applyFont="1" applyFill="1" applyBorder="1" applyAlignment="1">
      <alignment horizontal="center" vertical="center"/>
    </xf>
    <xf numFmtId="0" fontId="6" fillId="3" borderId="36"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6" fillId="36" borderId="96" xfId="0" applyFont="1" applyFill="1" applyBorder="1" applyAlignment="1">
      <alignment horizontal="left" vertical="center"/>
    </xf>
    <xf numFmtId="0" fontId="57" fillId="36" borderId="92" xfId="0" applyFont="1" applyFill="1" applyBorder="1" applyAlignment="1">
      <alignment vertical="center"/>
    </xf>
    <xf numFmtId="0" fontId="6" fillId="36" borderId="92" xfId="0" applyFont="1" applyFill="1" applyBorder="1" applyAlignment="1">
      <alignment vertical="center"/>
    </xf>
    <xf numFmtId="0" fontId="6" fillId="36" borderId="74" xfId="0" applyFont="1" applyFill="1" applyBorder="1" applyAlignment="1">
      <alignment vertical="center"/>
    </xf>
    <xf numFmtId="175" fontId="3" fillId="0" borderId="6" xfId="0" applyNumberFormat="1" applyFont="1" applyBorder="1" applyAlignment="1">
      <alignment horizontal="center" vertical="center"/>
    </xf>
    <xf numFmtId="172" fontId="3" fillId="0" borderId="6" xfId="0" applyNumberFormat="1" applyFont="1" applyBorder="1" applyAlignment="1">
      <alignment horizontal="center" vertical="center"/>
    </xf>
    <xf numFmtId="0" fontId="3" fillId="0" borderId="16" xfId="0" applyFont="1" applyBorder="1" applyAlignment="1">
      <alignment horizontal="center" vertical="center"/>
    </xf>
    <xf numFmtId="14" fontId="3" fillId="0" borderId="6" xfId="0" applyNumberFormat="1" applyFont="1" applyBorder="1" applyAlignment="1">
      <alignment horizontal="center" vertical="center"/>
    </xf>
    <xf numFmtId="0" fontId="3" fillId="0" borderId="12" xfId="0" applyFont="1" applyBorder="1" applyAlignment="1">
      <alignment horizontal="center" vertical="center"/>
    </xf>
    <xf numFmtId="172" fontId="3" fillId="0" borderId="13" xfId="0" applyNumberFormat="1" applyFont="1" applyBorder="1" applyAlignment="1">
      <alignment horizontal="center" vertical="center"/>
    </xf>
    <xf numFmtId="172" fontId="3" fillId="0" borderId="60" xfId="0" applyNumberFormat="1" applyFont="1" applyBorder="1" applyAlignment="1">
      <alignment horizontal="center" vertical="center"/>
    </xf>
    <xf numFmtId="0" fontId="30" fillId="0" borderId="0" xfId="0" applyFont="1" applyAlignment="1">
      <alignment horizontal="left" vertical="center"/>
    </xf>
    <xf numFmtId="0" fontId="3" fillId="0" borderId="95" xfId="0" applyFont="1" applyBorder="1" applyAlignment="1">
      <alignment horizontal="center"/>
    </xf>
    <xf numFmtId="173" fontId="3" fillId="0" borderId="6" xfId="0" applyNumberFormat="1" applyFont="1" applyBorder="1" applyAlignment="1">
      <alignment horizontal="center" vertical="center"/>
    </xf>
    <xf numFmtId="0" fontId="58" fillId="0" borderId="0" xfId="0" applyFont="1"/>
    <xf numFmtId="0" fontId="8" fillId="0" borderId="5" xfId="0" applyFont="1" applyBorder="1" applyAlignment="1">
      <alignment horizontal="center"/>
    </xf>
    <xf numFmtId="0" fontId="45" fillId="0" borderId="6" xfId="0" applyFont="1" applyBorder="1" applyAlignment="1">
      <alignment horizontal="center" vertical="center"/>
    </xf>
    <xf numFmtId="173" fontId="45" fillId="0" borderId="6" xfId="0" applyNumberFormat="1" applyFont="1" applyBorder="1" applyAlignment="1">
      <alignment horizontal="center" vertical="center"/>
    </xf>
    <xf numFmtId="0" fontId="58" fillId="0" borderId="0" xfId="0" applyFont="1" applyAlignment="1">
      <alignment horizontal="center" vertical="center"/>
    </xf>
    <xf numFmtId="172" fontId="3" fillId="0" borderId="0" xfId="0" applyNumberFormat="1" applyFont="1" applyAlignment="1">
      <alignment horizontal="center"/>
    </xf>
    <xf numFmtId="172" fontId="23" fillId="3" borderId="53" xfId="0" applyNumberFormat="1" applyFont="1" applyFill="1" applyBorder="1" applyAlignment="1">
      <alignment horizontal="center"/>
    </xf>
    <xf numFmtId="0" fontId="24" fillId="0" borderId="0" xfId="0" applyFont="1" applyAlignment="1">
      <alignment vertical="center"/>
    </xf>
    <xf numFmtId="0" fontId="30" fillId="3" borderId="98" xfId="0" applyFont="1" applyFill="1" applyBorder="1" applyAlignment="1">
      <alignment horizontal="center"/>
    </xf>
    <xf numFmtId="0" fontId="30" fillId="3" borderId="36" xfId="0" applyFont="1" applyFill="1" applyBorder="1" applyAlignment="1">
      <alignment horizontal="center"/>
    </xf>
    <xf numFmtId="0" fontId="30" fillId="3" borderId="99" xfId="0" applyFont="1" applyFill="1" applyBorder="1" applyAlignment="1">
      <alignment horizontal="center"/>
    </xf>
    <xf numFmtId="0" fontId="30" fillId="3" borderId="9" xfId="0" applyFont="1" applyFill="1" applyBorder="1" applyAlignment="1">
      <alignment horizontal="center"/>
    </xf>
    <xf numFmtId="0" fontId="30" fillId="3" borderId="100" xfId="0" applyFont="1" applyFill="1" applyBorder="1" applyAlignment="1">
      <alignment horizontal="center"/>
    </xf>
    <xf numFmtId="172" fontId="3" fillId="0" borderId="101" xfId="0" applyNumberFormat="1" applyFont="1" applyBorder="1" applyAlignment="1">
      <alignment horizontal="center" vertical="center"/>
    </xf>
    <xf numFmtId="172" fontId="3" fillId="0" borderId="95" xfId="0" applyNumberFormat="1" applyFont="1" applyBorder="1" applyAlignment="1">
      <alignment horizontal="center" vertical="center"/>
    </xf>
    <xf numFmtId="172" fontId="3" fillId="0" borderId="102" xfId="0" applyNumberFormat="1" applyFont="1" applyBorder="1" applyAlignment="1">
      <alignment horizontal="center" vertical="center"/>
    </xf>
    <xf numFmtId="0" fontId="30" fillId="3" borderId="91" xfId="0" applyFont="1" applyFill="1" applyBorder="1" applyAlignment="1">
      <alignment horizontal="center"/>
    </xf>
    <xf numFmtId="172" fontId="3" fillId="0" borderId="64" xfId="0" applyNumberFormat="1" applyFont="1" applyBorder="1" applyAlignment="1">
      <alignment horizontal="center" vertical="center"/>
    </xf>
    <xf numFmtId="172" fontId="3" fillId="0" borderId="29" xfId="0" applyNumberFormat="1" applyFont="1" applyBorder="1" applyAlignment="1">
      <alignment horizontal="center" vertical="center"/>
    </xf>
    <xf numFmtId="172" fontId="3" fillId="0" borderId="103" xfId="0" applyNumberFormat="1" applyFont="1" applyBorder="1" applyAlignment="1">
      <alignment horizontal="center" vertical="center"/>
    </xf>
    <xf numFmtId="172" fontId="3" fillId="0" borderId="12" xfId="0" applyNumberFormat="1" applyFont="1" applyBorder="1" applyAlignment="1">
      <alignment horizontal="center" vertical="center"/>
    </xf>
    <xf numFmtId="172" fontId="3" fillId="0" borderId="65" xfId="0" applyNumberFormat="1" applyFont="1" applyBorder="1" applyAlignment="1">
      <alignment horizontal="center" vertical="center"/>
    </xf>
    <xf numFmtId="172" fontId="3" fillId="0" borderId="20" xfId="0" applyNumberFormat="1" applyFont="1" applyBorder="1" applyAlignment="1">
      <alignment horizontal="center" vertical="center"/>
    </xf>
    <xf numFmtId="0" fontId="30" fillId="3" borderId="104" xfId="0" applyFont="1" applyFill="1" applyBorder="1" applyAlignment="1">
      <alignment horizontal="center" vertical="center"/>
    </xf>
    <xf numFmtId="172" fontId="23" fillId="3" borderId="8" xfId="0" applyNumberFormat="1" applyFont="1" applyFill="1" applyBorder="1" applyAlignment="1">
      <alignment horizontal="center" vertical="center"/>
    </xf>
    <xf numFmtId="172" fontId="23" fillId="3" borderId="36" xfId="0" applyNumberFormat="1" applyFont="1" applyFill="1" applyBorder="1" applyAlignment="1">
      <alignment horizontal="center" vertical="center"/>
    </xf>
    <xf numFmtId="172" fontId="23" fillId="3" borderId="9" xfId="0" applyNumberFormat="1" applyFont="1" applyFill="1" applyBorder="1" applyAlignment="1">
      <alignment horizontal="center" vertical="center"/>
    </xf>
    <xf numFmtId="0" fontId="59" fillId="0" borderId="0" xfId="0" applyFont="1"/>
    <xf numFmtId="0" fontId="60" fillId="0" borderId="0" xfId="0" applyFont="1"/>
    <xf numFmtId="0" fontId="29" fillId="0" borderId="8"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9" xfId="0" applyFont="1" applyBorder="1" applyAlignment="1">
      <alignment horizontal="center" vertical="center" wrapText="1"/>
    </xf>
    <xf numFmtId="0" fontId="28" fillId="0" borderId="23" xfId="0" applyFont="1" applyBorder="1"/>
    <xf numFmtId="0" fontId="28" fillId="0" borderId="23" xfId="0" applyFont="1" applyBorder="1" applyAlignment="1">
      <alignment horizontal="center" vertical="center"/>
    </xf>
    <xf numFmtId="0" fontId="3" fillId="10" borderId="27" xfId="0" applyFont="1" applyFill="1" applyBorder="1" applyAlignment="1">
      <alignment horizontal="center" vertical="center"/>
    </xf>
    <xf numFmtId="181" fontId="3" fillId="0" borderId="23" xfId="0" applyNumberFormat="1" applyFont="1" applyBorder="1" applyAlignment="1">
      <alignment horizontal="center" vertical="center"/>
    </xf>
    <xf numFmtId="181" fontId="3" fillId="0" borderId="6" xfId="0" applyNumberFormat="1" applyFont="1" applyBorder="1" applyAlignment="1">
      <alignment horizontal="center" vertical="center"/>
    </xf>
    <xf numFmtId="181" fontId="8" fillId="3" borderId="17" xfId="0" applyNumberFormat="1" applyFont="1" applyFill="1" applyBorder="1" applyAlignment="1">
      <alignment horizontal="center" vertical="center"/>
    </xf>
    <xf numFmtId="181" fontId="8" fillId="3" borderId="13" xfId="0" applyNumberFormat="1" applyFont="1" applyFill="1" applyBorder="1" applyAlignment="1">
      <alignment horizontal="center" vertical="center"/>
    </xf>
    <xf numFmtId="181" fontId="8" fillId="3" borderId="15" xfId="0" applyNumberFormat="1" applyFont="1" applyFill="1" applyBorder="1" applyAlignment="1">
      <alignment horizontal="center" vertical="center"/>
    </xf>
    <xf numFmtId="181" fontId="8" fillId="3" borderId="9" xfId="0" applyNumberFormat="1" applyFont="1" applyFill="1" applyBorder="1" applyAlignment="1">
      <alignment horizontal="center" vertical="center"/>
    </xf>
    <xf numFmtId="182" fontId="3" fillId="0" borderId="6" xfId="0" applyNumberFormat="1" applyFont="1" applyBorder="1" applyAlignment="1">
      <alignment horizontal="center"/>
    </xf>
    <xf numFmtId="0" fontId="8" fillId="3" borderId="98" xfId="0" applyFont="1" applyFill="1" applyBorder="1" applyAlignment="1">
      <alignment horizontal="center" vertical="center"/>
    </xf>
    <xf numFmtId="0" fontId="8" fillId="3" borderId="16" xfId="0" applyFont="1" applyFill="1" applyBorder="1" applyAlignment="1">
      <alignment horizontal="left" vertical="center"/>
    </xf>
    <xf numFmtId="182" fontId="8" fillId="3" borderId="17" xfId="0" applyNumberFormat="1" applyFont="1" applyFill="1" applyBorder="1" applyAlignment="1">
      <alignment horizontal="center" vertical="center"/>
    </xf>
    <xf numFmtId="0" fontId="23" fillId="0" borderId="0" xfId="0" applyFont="1" applyAlignment="1">
      <alignment horizontal="center"/>
    </xf>
    <xf numFmtId="0" fontId="8" fillId="0" borderId="0" xfId="0" applyFont="1" applyAlignment="1">
      <alignment horizontal="center" vertical="center"/>
    </xf>
    <xf numFmtId="0" fontId="8" fillId="3" borderId="12" xfId="0" applyFont="1" applyFill="1" applyBorder="1" applyAlignment="1">
      <alignment horizontal="left" vertical="center"/>
    </xf>
    <xf numFmtId="182" fontId="8" fillId="3" borderId="13" xfId="0" applyNumberFormat="1" applyFont="1" applyFill="1" applyBorder="1" applyAlignment="1">
      <alignment horizontal="center" vertical="center"/>
    </xf>
    <xf numFmtId="0" fontId="8" fillId="3" borderId="14" xfId="0" applyFont="1" applyFill="1" applyBorder="1" applyAlignment="1">
      <alignment horizontal="left" vertical="center"/>
    </xf>
    <xf numFmtId="182" fontId="8" fillId="3" borderId="15" xfId="0" applyNumberFormat="1" applyFont="1" applyFill="1" applyBorder="1" applyAlignment="1">
      <alignment horizontal="center" vertical="center"/>
    </xf>
    <xf numFmtId="0" fontId="3" fillId="37" borderId="6" xfId="0" applyFont="1" applyFill="1" applyBorder="1"/>
    <xf numFmtId="182" fontId="3" fillId="0" borderId="0" xfId="0" applyNumberFormat="1" applyFont="1" applyAlignment="1">
      <alignment horizontal="center"/>
    </xf>
    <xf numFmtId="0" fontId="8" fillId="3" borderId="62" xfId="0" applyFont="1" applyFill="1" applyBorder="1" applyAlignment="1">
      <alignment horizontal="left" vertical="center"/>
    </xf>
    <xf numFmtId="182" fontId="8" fillId="3" borderId="53" xfId="0" applyNumberFormat="1" applyFont="1" applyFill="1" applyBorder="1" applyAlignment="1">
      <alignment horizontal="center" vertical="center"/>
    </xf>
    <xf numFmtId="0" fontId="23" fillId="0" borderId="0" xfId="0" applyFont="1" applyAlignment="1">
      <alignment horizontal="center" vertical="center"/>
    </xf>
    <xf numFmtId="181" fontId="3" fillId="0" borderId="6" xfId="0" applyNumberFormat="1" applyFont="1" applyBorder="1" applyAlignment="1">
      <alignment horizontal="center"/>
    </xf>
    <xf numFmtId="181" fontId="23" fillId="3" borderId="36" xfId="0" applyNumberFormat="1" applyFont="1" applyFill="1" applyBorder="1" applyAlignment="1">
      <alignment horizontal="center" vertical="center"/>
    </xf>
    <xf numFmtId="171" fontId="23" fillId="3" borderId="9" xfId="0" applyNumberFormat="1" applyFont="1" applyFill="1" applyBorder="1" applyAlignment="1">
      <alignment horizontal="center" vertical="center"/>
    </xf>
    <xf numFmtId="181" fontId="23" fillId="3" borderId="47" xfId="0" applyNumberFormat="1" applyFont="1" applyFill="1" applyBorder="1" applyAlignment="1">
      <alignment horizontal="center" vertical="center"/>
    </xf>
    <xf numFmtId="171" fontId="23" fillId="3" borderId="17" xfId="0" applyNumberFormat="1" applyFont="1" applyFill="1" applyBorder="1" applyAlignment="1">
      <alignment horizontal="center" vertical="center"/>
    </xf>
    <xf numFmtId="181" fontId="23" fillId="3" borderId="6" xfId="0" applyNumberFormat="1" applyFont="1" applyFill="1" applyBorder="1" applyAlignment="1">
      <alignment horizontal="center" vertical="center"/>
    </xf>
    <xf numFmtId="171" fontId="23" fillId="3" borderId="13" xfId="0" applyNumberFormat="1" applyFont="1" applyFill="1" applyBorder="1" applyAlignment="1">
      <alignment horizontal="center" vertical="center"/>
    </xf>
    <xf numFmtId="181" fontId="23" fillId="3" borderId="43" xfId="0" applyNumberFormat="1" applyFont="1" applyFill="1" applyBorder="1" applyAlignment="1">
      <alignment horizontal="center" vertical="center"/>
    </xf>
    <xf numFmtId="171" fontId="23" fillId="3" borderId="15" xfId="0" applyNumberFormat="1" applyFont="1" applyFill="1" applyBorder="1" applyAlignment="1">
      <alignment horizontal="center" vertical="center"/>
    </xf>
    <xf numFmtId="0" fontId="31" fillId="0" borderId="0" xfId="0" applyFont="1" applyAlignment="1">
      <alignment horizontal="center"/>
    </xf>
    <xf numFmtId="0" fontId="3" fillId="0" borderId="30" xfId="0" applyFont="1" applyBorder="1" applyAlignment="1">
      <alignment horizontal="center"/>
    </xf>
    <xf numFmtId="0" fontId="3" fillId="0" borderId="8" xfId="0" applyFont="1" applyBorder="1" applyAlignment="1">
      <alignment horizontal="center"/>
    </xf>
    <xf numFmtId="0" fontId="3" fillId="0" borderId="36" xfId="0" applyFont="1" applyBorder="1" applyAlignment="1">
      <alignment horizontal="center"/>
    </xf>
    <xf numFmtId="0" fontId="3" fillId="0" borderId="73" xfId="0" applyFont="1" applyBorder="1" applyAlignment="1">
      <alignment horizontal="center"/>
    </xf>
    <xf numFmtId="0" fontId="3" fillId="0" borderId="62" xfId="0" applyFont="1" applyBorder="1" applyAlignment="1">
      <alignment horizontal="center"/>
    </xf>
    <xf numFmtId="0" fontId="3" fillId="0" borderId="59" xfId="0" applyFont="1" applyBorder="1" applyAlignment="1">
      <alignment horizontal="center"/>
    </xf>
    <xf numFmtId="0" fontId="3" fillId="0" borderId="17" xfId="0" applyFont="1" applyBorder="1" applyAlignment="1">
      <alignment horizontal="center"/>
    </xf>
    <xf numFmtId="0" fontId="3" fillId="0" borderId="105" xfId="0" applyFont="1" applyBorder="1" applyAlignment="1">
      <alignment horizontal="center"/>
    </xf>
    <xf numFmtId="0" fontId="3" fillId="0" borderId="60" xfId="0" applyFont="1" applyBorder="1" applyAlignment="1">
      <alignment horizontal="center"/>
    </xf>
    <xf numFmtId="0" fontId="3" fillId="0" borderId="13" xfId="0" applyFont="1" applyBorder="1" applyAlignment="1">
      <alignment horizontal="center"/>
    </xf>
    <xf numFmtId="0" fontId="3" fillId="0" borderId="61" xfId="0" applyFont="1" applyBorder="1" applyAlignment="1">
      <alignment horizontal="center"/>
    </xf>
    <xf numFmtId="0" fontId="3" fillId="0" borderId="15" xfId="0" applyFont="1" applyBorder="1" applyAlignment="1">
      <alignment horizontal="center"/>
    </xf>
    <xf numFmtId="0" fontId="3" fillId="0" borderId="62" xfId="0" applyFont="1" applyBorder="1"/>
    <xf numFmtId="0" fontId="3" fillId="0" borderId="0" xfId="0" applyFont="1" applyAlignment="1">
      <alignment horizontal="right" vertical="center"/>
    </xf>
    <xf numFmtId="0" fontId="3" fillId="0" borderId="6" xfId="0" applyFont="1" applyBorder="1" applyAlignment="1">
      <alignment vertical="center"/>
    </xf>
    <xf numFmtId="0" fontId="8" fillId="0" borderId="3" xfId="0" applyFont="1" applyBorder="1" applyAlignment="1">
      <alignment horizontal="center" vertical="center"/>
    </xf>
    <xf numFmtId="0" fontId="3" fillId="0" borderId="59" xfId="0" applyFont="1" applyBorder="1" applyAlignment="1">
      <alignment horizontal="center" vertical="center"/>
    </xf>
    <xf numFmtId="171" fontId="3" fillId="0" borderId="17" xfId="0" applyNumberFormat="1" applyFont="1" applyBorder="1" applyAlignment="1">
      <alignment horizontal="center" vertical="center"/>
    </xf>
    <xf numFmtId="0" fontId="3" fillId="0" borderId="60" xfId="0" applyFont="1" applyBorder="1" applyAlignment="1">
      <alignment horizontal="center" vertical="center"/>
    </xf>
    <xf numFmtId="171" fontId="3" fillId="0" borderId="13" xfId="0" applyNumberFormat="1" applyFont="1" applyBorder="1" applyAlignment="1">
      <alignment horizontal="center" vertical="center"/>
    </xf>
    <xf numFmtId="0" fontId="3" fillId="0" borderId="61" xfId="0" applyFont="1" applyBorder="1" applyAlignment="1">
      <alignment horizontal="center" vertical="center"/>
    </xf>
    <xf numFmtId="0" fontId="3" fillId="0" borderId="14" xfId="0" applyFont="1" applyBorder="1" applyAlignment="1">
      <alignment horizontal="center" vertical="center"/>
    </xf>
    <xf numFmtId="171" fontId="3" fillId="0" borderId="15" xfId="0" applyNumberFormat="1" applyFont="1" applyBorder="1" applyAlignment="1">
      <alignment horizontal="center" vertical="center"/>
    </xf>
    <xf numFmtId="171" fontId="8" fillId="0" borderId="3" xfId="0" applyNumberFormat="1" applyFont="1" applyBorder="1" applyAlignment="1">
      <alignment horizontal="center" vertical="center"/>
    </xf>
    <xf numFmtId="0" fontId="61" fillId="0" borderId="0" xfId="0" applyFont="1" applyAlignment="1">
      <alignment vertical="center"/>
    </xf>
    <xf numFmtId="183" fontId="3" fillId="0" borderId="6" xfId="0" applyNumberFormat="1" applyFont="1" applyBorder="1" applyAlignment="1">
      <alignment horizontal="center" vertical="center"/>
    </xf>
    <xf numFmtId="0" fontId="8" fillId="0" borderId="6" xfId="0" applyFont="1" applyBorder="1" applyAlignment="1">
      <alignment horizontal="center" vertical="center"/>
    </xf>
    <xf numFmtId="183" fontId="3" fillId="54" borderId="6" xfId="0" applyNumberFormat="1" applyFont="1" applyFill="1" applyBorder="1" applyAlignment="1">
      <alignment horizontal="center" vertical="center"/>
    </xf>
    <xf numFmtId="0" fontId="8" fillId="0" borderId="2" xfId="0" applyFont="1" applyBorder="1" applyAlignment="1">
      <alignment horizontal="center" vertical="center"/>
    </xf>
    <xf numFmtId="183" fontId="3" fillId="0" borderId="16" xfId="0" applyNumberFormat="1" applyFont="1" applyBorder="1" applyAlignment="1">
      <alignment horizontal="center" vertical="center"/>
    </xf>
    <xf numFmtId="183" fontId="3" fillId="0" borderId="47" xfId="0" applyNumberFormat="1" applyFont="1" applyBorder="1" applyAlignment="1">
      <alignment horizontal="center" vertical="center"/>
    </xf>
    <xf numFmtId="183" fontId="3" fillId="0" borderId="17" xfId="0" applyNumberFormat="1" applyFont="1" applyBorder="1" applyAlignment="1">
      <alignment horizontal="center" vertical="center"/>
    </xf>
    <xf numFmtId="183" fontId="3" fillId="0" borderId="12" xfId="0" applyNumberFormat="1" applyFont="1" applyBorder="1" applyAlignment="1">
      <alignment horizontal="center" vertical="center"/>
    </xf>
    <xf numFmtId="183" fontId="3" fillId="0" borderId="13" xfId="0" applyNumberFormat="1" applyFont="1" applyBorder="1" applyAlignment="1">
      <alignment horizontal="center" vertical="center"/>
    </xf>
    <xf numFmtId="183" fontId="3" fillId="40" borderId="14" xfId="0" applyNumberFormat="1" applyFont="1" applyFill="1" applyBorder="1" applyAlignment="1">
      <alignment horizontal="center" vertical="center"/>
    </xf>
    <xf numFmtId="183" fontId="3" fillId="40" borderId="43" xfId="0" applyNumberFormat="1" applyFont="1" applyFill="1" applyBorder="1" applyAlignment="1">
      <alignment horizontal="center" vertical="center"/>
    </xf>
    <xf numFmtId="183" fontId="3" fillId="40" borderId="15" xfId="0" applyNumberFormat="1" applyFont="1" applyFill="1" applyBorder="1" applyAlignment="1">
      <alignment horizontal="center" vertical="center"/>
    </xf>
    <xf numFmtId="183" fontId="8" fillId="0" borderId="3" xfId="0" applyNumberFormat="1" applyFont="1" applyBorder="1" applyAlignment="1">
      <alignment horizontal="center" vertical="center"/>
    </xf>
    <xf numFmtId="0" fontId="3" fillId="0" borderId="52" xfId="0" applyFont="1" applyBorder="1" applyAlignment="1">
      <alignment horizontal="center" vertical="center"/>
    </xf>
    <xf numFmtId="0" fontId="3" fillId="0" borderId="5" xfId="0" applyFont="1" applyBorder="1" applyAlignment="1">
      <alignment horizontal="center" vertical="center"/>
    </xf>
    <xf numFmtId="0" fontId="3" fillId="0" borderId="40" xfId="0" applyFont="1" applyBorder="1" applyAlignment="1">
      <alignment horizontal="center" vertical="center"/>
    </xf>
    <xf numFmtId="0" fontId="1" fillId="0" borderId="0" xfId="0" applyFont="1" applyAlignment="1">
      <alignment horizontal="center" vertical="center"/>
    </xf>
    <xf numFmtId="0" fontId="41" fillId="0" borderId="0" xfId="0" applyFont="1" applyAlignment="1">
      <alignment horizontal="left" vertical="center"/>
    </xf>
    <xf numFmtId="0" fontId="62" fillId="0" borderId="0" xfId="0" applyFont="1"/>
    <xf numFmtId="0" fontId="23" fillId="3" borderId="6" xfId="0" applyFont="1" applyFill="1" applyBorder="1" applyAlignment="1">
      <alignment horizontal="left" vertical="center"/>
    </xf>
    <xf numFmtId="184" fontId="23" fillId="3" borderId="6" xfId="0" applyNumberFormat="1" applyFont="1" applyFill="1" applyBorder="1" applyAlignment="1">
      <alignment horizontal="center" vertical="center"/>
    </xf>
    <xf numFmtId="184" fontId="23" fillId="0" borderId="0" xfId="0" applyNumberFormat="1" applyFont="1" applyAlignment="1">
      <alignment horizontal="center" vertical="center"/>
    </xf>
    <xf numFmtId="184" fontId="3" fillId="0" borderId="0" xfId="0" applyNumberFormat="1" applyFont="1" applyAlignment="1">
      <alignment horizontal="center"/>
    </xf>
    <xf numFmtId="0" fontId="41" fillId="33" borderId="19" xfId="0" applyFont="1" applyFill="1" applyBorder="1" applyAlignment="1">
      <alignment horizontal="left" vertical="center"/>
    </xf>
    <xf numFmtId="185" fontId="3" fillId="0" borderId="6" xfId="0" applyNumberFormat="1" applyFont="1" applyBorder="1"/>
    <xf numFmtId="165" fontId="3" fillId="0" borderId="6" xfId="0" applyNumberFormat="1" applyFont="1" applyBorder="1" applyAlignment="1">
      <alignment horizontal="center"/>
    </xf>
    <xf numFmtId="186" fontId="3" fillId="0" borderId="6" xfId="0" applyNumberFormat="1" applyFont="1" applyBorder="1" applyAlignment="1">
      <alignment horizontal="center"/>
    </xf>
    <xf numFmtId="165" fontId="23" fillId="3" borderId="6" xfId="0" applyNumberFormat="1" applyFont="1" applyFill="1" applyBorder="1" applyAlignment="1">
      <alignment horizontal="center"/>
    </xf>
    <xf numFmtId="186" fontId="23" fillId="3" borderId="6" xfId="0" applyNumberFormat="1" applyFont="1" applyFill="1" applyBorder="1" applyAlignment="1">
      <alignment horizontal="center"/>
    </xf>
    <xf numFmtId="0" fontId="63" fillId="48" borderId="19" xfId="0" applyFont="1" applyFill="1" applyBorder="1" applyAlignment="1">
      <alignment vertical="center"/>
    </xf>
    <xf numFmtId="0" fontId="8" fillId="0" borderId="62" xfId="0" applyFont="1" applyBorder="1" applyAlignment="1">
      <alignment vertical="center"/>
    </xf>
    <xf numFmtId="0" fontId="8" fillId="0" borderId="62" xfId="0" applyFont="1" applyBorder="1"/>
    <xf numFmtId="0" fontId="3" fillId="0" borderId="23" xfId="0" applyFont="1" applyBorder="1" applyAlignment="1">
      <alignment vertical="center"/>
    </xf>
    <xf numFmtId="0" fontId="3" fillId="0" borderId="23" xfId="0" applyFont="1" applyBorder="1" applyAlignment="1">
      <alignment vertical="center" wrapText="1"/>
    </xf>
    <xf numFmtId="0" fontId="3" fillId="39" borderId="107" xfId="0" applyFont="1" applyFill="1" applyBorder="1" applyAlignment="1">
      <alignment vertical="center" wrapText="1"/>
    </xf>
    <xf numFmtId="0" fontId="3" fillId="0" borderId="108" xfId="0" applyFont="1" applyBorder="1" applyAlignment="1">
      <alignment vertical="center" wrapText="1"/>
    </xf>
    <xf numFmtId="0" fontId="3" fillId="39" borderId="108" xfId="0" applyFont="1" applyFill="1" applyBorder="1" applyAlignment="1">
      <alignment vertical="center" wrapText="1"/>
    </xf>
    <xf numFmtId="0" fontId="8" fillId="0" borderId="62" xfId="0" applyFont="1" applyBorder="1" applyAlignment="1">
      <alignment horizontal="left"/>
    </xf>
    <xf numFmtId="0" fontId="3" fillId="0" borderId="108" xfId="0" applyFont="1" applyBorder="1" applyAlignment="1">
      <alignment vertical="center"/>
    </xf>
    <xf numFmtId="0" fontId="3" fillId="0" borderId="23" xfId="0" applyFont="1" applyBorder="1" applyAlignment="1">
      <alignment horizontal="left" vertical="center"/>
    </xf>
    <xf numFmtId="0" fontId="3" fillId="0" borderId="6" xfId="0" applyFont="1" applyBorder="1" applyAlignment="1">
      <alignment horizontal="left" vertical="center"/>
    </xf>
    <xf numFmtId="0" fontId="3" fillId="0" borderId="109" xfId="0" applyFont="1" applyBorder="1" applyAlignment="1">
      <alignment vertical="center" wrapText="1"/>
    </xf>
    <xf numFmtId="0" fontId="31" fillId="0" borderId="47" xfId="0" applyFont="1" applyBorder="1" applyAlignment="1">
      <alignment horizontal="left"/>
    </xf>
    <xf numFmtId="0" fontId="31" fillId="0" borderId="23" xfId="0" applyFont="1" applyBorder="1" applyAlignment="1">
      <alignment horizontal="left"/>
    </xf>
    <xf numFmtId="0" fontId="3" fillId="0" borderId="109" xfId="0" applyFont="1" applyBorder="1" applyAlignment="1">
      <alignment vertical="center"/>
    </xf>
    <xf numFmtId="0" fontId="3" fillId="0" borderId="110" xfId="0" applyFont="1" applyBorder="1" applyAlignment="1">
      <alignment horizontal="left"/>
    </xf>
    <xf numFmtId="0" fontId="3" fillId="0" borderId="111" xfId="0" applyFont="1" applyBorder="1" applyAlignment="1">
      <alignment horizontal="left"/>
    </xf>
    <xf numFmtId="0" fontId="8" fillId="0" borderId="62" xfId="0" applyFont="1" applyBorder="1" applyAlignment="1">
      <alignment horizontal="left" vertical="center"/>
    </xf>
    <xf numFmtId="0" fontId="3" fillId="0" borderId="110" xfId="0" applyFont="1" applyBorder="1" applyAlignment="1">
      <alignment horizontal="center" vertical="center"/>
    </xf>
    <xf numFmtId="0" fontId="3" fillId="0" borderId="111" xfId="0" applyFont="1" applyBorder="1" applyAlignment="1">
      <alignment horizontal="center" vertical="center"/>
    </xf>
    <xf numFmtId="0" fontId="3" fillId="0" borderId="112" xfId="0" applyFont="1" applyBorder="1" applyAlignment="1">
      <alignment vertical="center" wrapText="1"/>
    </xf>
    <xf numFmtId="0" fontId="8" fillId="0" borderId="57" xfId="0" applyFont="1" applyBorder="1" applyAlignment="1">
      <alignment horizontal="left" vertical="center"/>
    </xf>
    <xf numFmtId="0" fontId="3" fillId="0" borderId="59" xfId="0" applyFont="1" applyBorder="1" applyAlignment="1">
      <alignment horizontal="left" vertical="center"/>
    </xf>
    <xf numFmtId="0" fontId="8" fillId="0" borderId="63" xfId="0" applyFont="1" applyBorder="1" applyAlignment="1">
      <alignment horizontal="left" vertical="center"/>
    </xf>
    <xf numFmtId="0" fontId="3" fillId="0" borderId="60" xfId="0" applyFont="1" applyBorder="1" applyAlignment="1">
      <alignment horizontal="left" vertical="center"/>
    </xf>
    <xf numFmtId="0" fontId="3" fillId="39" borderId="27" xfId="0" applyFont="1" applyFill="1" applyBorder="1" applyAlignment="1">
      <alignment horizontal="left" vertical="center" wrapText="1"/>
    </xf>
    <xf numFmtId="0" fontId="3" fillId="0" borderId="47" xfId="0" applyFont="1" applyBorder="1"/>
    <xf numFmtId="0" fontId="3" fillId="39" borderId="6" xfId="0" applyFont="1" applyFill="1" applyBorder="1" applyAlignment="1">
      <alignment horizontal="left" vertical="center" wrapText="1"/>
    </xf>
    <xf numFmtId="0" fontId="3" fillId="0" borderId="61" xfId="0" applyFont="1" applyBorder="1" applyAlignment="1">
      <alignment horizontal="left" vertical="center"/>
    </xf>
    <xf numFmtId="0" fontId="8" fillId="14" borderId="62" xfId="0" applyFont="1" applyFill="1" applyBorder="1"/>
    <xf numFmtId="0" fontId="3" fillId="14" borderId="27" xfId="0" applyFont="1" applyFill="1" applyBorder="1"/>
    <xf numFmtId="0" fontId="3" fillId="14" borderId="6" xfId="0" applyFont="1" applyFill="1" applyBorder="1"/>
    <xf numFmtId="0" fontId="3" fillId="0" borderId="110" xfId="0" applyFont="1" applyBorder="1" applyAlignment="1">
      <alignment horizontal="center"/>
    </xf>
    <xf numFmtId="0" fontId="3" fillId="0" borderId="111" xfId="0" applyFont="1" applyBorder="1" applyAlignment="1">
      <alignment horizontal="center"/>
    </xf>
    <xf numFmtId="0" fontId="8" fillId="58" borderId="62" xfId="0" applyFont="1" applyFill="1" applyBorder="1" applyAlignment="1">
      <alignment horizontal="left" vertical="center"/>
    </xf>
    <xf numFmtId="0" fontId="3" fillId="58" borderId="6" xfId="0" applyFont="1" applyFill="1" applyBorder="1" applyAlignment="1">
      <alignment horizontal="left" vertical="center"/>
    </xf>
    <xf numFmtId="0" fontId="3" fillId="0" borderId="23" xfId="0" applyFont="1" applyBorder="1" applyAlignment="1">
      <alignment horizontal="left"/>
    </xf>
    <xf numFmtId="0" fontId="3" fillId="0" borderId="6" xfId="0" applyFont="1" applyBorder="1" applyAlignment="1">
      <alignment horizontal="left"/>
    </xf>
    <xf numFmtId="0" fontId="3" fillId="39" borderId="6" xfId="0" applyFont="1" applyFill="1" applyBorder="1" applyAlignment="1">
      <alignment vertical="center" wrapText="1"/>
    </xf>
    <xf numFmtId="0" fontId="3" fillId="0" borderId="6" xfId="0" applyFont="1" applyBorder="1" applyAlignment="1">
      <alignment vertical="center" wrapText="1"/>
    </xf>
    <xf numFmtId="0" fontId="2" fillId="0" borderId="113" xfId="0" applyFont="1" applyBorder="1"/>
    <xf numFmtId="14" fontId="3" fillId="0" borderId="113" xfId="0" applyNumberFormat="1" applyFont="1" applyBorder="1" applyAlignment="1">
      <alignment horizontal="center" vertical="center"/>
    </xf>
    <xf numFmtId="0" fontId="3" fillId="10" borderId="113" xfId="0" applyFont="1" applyFill="1" applyBorder="1" applyAlignment="1">
      <alignment horizontal="center" vertical="center"/>
    </xf>
    <xf numFmtId="172" fontId="3" fillId="0" borderId="113" xfId="0" applyNumberFormat="1" applyFont="1" applyBorder="1" applyAlignment="1">
      <alignment horizontal="center" vertical="center"/>
    </xf>
    <xf numFmtId="173" fontId="3" fillId="0" borderId="113" xfId="0" applyNumberFormat="1" applyFont="1" applyBorder="1" applyAlignment="1">
      <alignment horizontal="center" vertical="center"/>
    </xf>
    <xf numFmtId="0" fontId="3" fillId="37" borderId="113" xfId="0" applyFont="1" applyFill="1" applyBorder="1" applyAlignment="1">
      <alignment horizontal="center" vertical="center"/>
    </xf>
    <xf numFmtId="0" fontId="3" fillId="0" borderId="113" xfId="0" applyFont="1" applyBorder="1" applyAlignment="1">
      <alignment horizontal="center" vertical="center" wrapText="1"/>
    </xf>
    <xf numFmtId="0" fontId="3" fillId="10" borderId="113" xfId="0" applyFont="1" applyFill="1" applyBorder="1" applyAlignment="1">
      <alignment horizontal="center" vertical="center" wrapText="1"/>
    </xf>
    <xf numFmtId="172" fontId="8" fillId="0" borderId="6" xfId="0" applyNumberFormat="1" applyFont="1" applyBorder="1" applyAlignment="1">
      <alignment horizontal="center" vertical="center"/>
    </xf>
    <xf numFmtId="0" fontId="3" fillId="10" borderId="96" xfId="0" applyFont="1" applyFill="1" applyBorder="1" applyAlignment="1">
      <alignment horizontal="center" vertical="center"/>
    </xf>
    <xf numFmtId="0" fontId="3" fillId="0" borderId="96" xfId="0" applyFont="1" applyBorder="1" applyAlignment="1">
      <alignment horizontal="center" vertical="center"/>
    </xf>
    <xf numFmtId="0" fontId="3" fillId="0" borderId="74" xfId="0" applyFont="1" applyBorder="1" applyAlignment="1">
      <alignment horizontal="center" vertical="center"/>
    </xf>
    <xf numFmtId="0" fontId="2" fillId="0" borderId="19" xfId="0" applyFont="1" applyBorder="1"/>
    <xf numFmtId="172" fontId="8" fillId="0" borderId="113" xfId="0" applyNumberFormat="1" applyFont="1" applyBorder="1" applyAlignment="1">
      <alignment horizontal="center" vertical="center"/>
    </xf>
    <xf numFmtId="172" fontId="31" fillId="0" borderId="6" xfId="0" applyNumberFormat="1" applyFont="1" applyBorder="1" applyAlignment="1">
      <alignment horizontal="center" vertical="center"/>
    </xf>
    <xf numFmtId="0" fontId="39" fillId="0" borderId="33" xfId="0" applyFont="1" applyBorder="1"/>
    <xf numFmtId="0" fontId="31" fillId="0" borderId="33" xfId="0" applyFont="1" applyBorder="1"/>
    <xf numFmtId="0" fontId="3" fillId="0" borderId="113" xfId="0" applyFont="1" applyBorder="1" applyAlignment="1">
      <alignment horizontal="center" vertical="center"/>
    </xf>
    <xf numFmtId="0" fontId="70" fillId="40" borderId="6"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6" fillId="3" borderId="4" xfId="0" applyFont="1" applyFill="1" applyBorder="1" applyAlignment="1">
      <alignment horizontal="center" vertical="center"/>
    </xf>
    <xf numFmtId="0" fontId="2" fillId="0" borderId="5" xfId="0" applyFont="1" applyBorder="1"/>
    <xf numFmtId="0" fontId="7" fillId="4" borderId="4" xfId="0" applyFont="1" applyFill="1" applyBorder="1" applyAlignment="1">
      <alignment horizontal="left" vertical="center"/>
    </xf>
    <xf numFmtId="0" fontId="2" fillId="0" borderId="7" xfId="0" applyFont="1" applyBorder="1"/>
    <xf numFmtId="0" fontId="8" fillId="5" borderId="4" xfId="0" applyFont="1" applyFill="1" applyBorder="1" applyAlignment="1">
      <alignment horizontal="left" vertical="center"/>
    </xf>
    <xf numFmtId="0" fontId="9" fillId="7" borderId="4" xfId="0" applyFont="1" applyFill="1" applyBorder="1" applyAlignment="1">
      <alignment horizontal="left" vertical="center"/>
    </xf>
    <xf numFmtId="0" fontId="8" fillId="8" borderId="4" xfId="0" applyFont="1" applyFill="1" applyBorder="1" applyAlignment="1">
      <alignment horizontal="left" vertical="center"/>
    </xf>
    <xf numFmtId="0" fontId="10" fillId="9" borderId="4" xfId="0" applyFont="1" applyFill="1" applyBorder="1" applyAlignment="1">
      <alignment horizontal="left" vertical="center"/>
    </xf>
    <xf numFmtId="0" fontId="8" fillId="10" borderId="4" xfId="0" applyFont="1" applyFill="1" applyBorder="1" applyAlignment="1">
      <alignment horizontal="left" vertical="center"/>
    </xf>
    <xf numFmtId="0" fontId="11" fillId="11" borderId="4" xfId="0" applyFont="1" applyFill="1" applyBorder="1" applyAlignment="1">
      <alignment horizontal="left" vertical="center"/>
    </xf>
    <xf numFmtId="0" fontId="8" fillId="9" borderId="4" xfId="0" applyFont="1" applyFill="1" applyBorder="1" applyAlignment="1">
      <alignment horizontal="left" vertical="center"/>
    </xf>
    <xf numFmtId="0" fontId="12" fillId="12" borderId="4" xfId="0" applyFont="1" applyFill="1" applyBorder="1" applyAlignment="1">
      <alignment horizontal="left" vertical="center"/>
    </xf>
    <xf numFmtId="0" fontId="13" fillId="13" borderId="4" xfId="0" applyFont="1" applyFill="1" applyBorder="1" applyAlignment="1">
      <alignment horizontal="left" vertical="center"/>
    </xf>
    <xf numFmtId="0" fontId="14" fillId="14" borderId="4" xfId="0" applyFont="1" applyFill="1" applyBorder="1" applyAlignment="1">
      <alignment horizontal="left" vertical="center"/>
    </xf>
    <xf numFmtId="0" fontId="8" fillId="15" borderId="4" xfId="0" applyFont="1" applyFill="1" applyBorder="1" applyAlignment="1">
      <alignment horizontal="left" vertical="center"/>
    </xf>
    <xf numFmtId="0" fontId="15" fillId="16" borderId="4" xfId="0" applyFont="1" applyFill="1" applyBorder="1" applyAlignment="1">
      <alignment horizontal="left" vertical="center"/>
    </xf>
    <xf numFmtId="0" fontId="16" fillId="17" borderId="4" xfId="0" applyFont="1" applyFill="1" applyBorder="1" applyAlignment="1">
      <alignment horizontal="left" vertical="center"/>
    </xf>
    <xf numFmtId="0" fontId="8" fillId="18" borderId="4" xfId="0" applyFont="1" applyFill="1" applyBorder="1" applyAlignment="1">
      <alignment horizontal="left" vertical="center"/>
    </xf>
    <xf numFmtId="0" fontId="17" fillId="19" borderId="4" xfId="0" applyFont="1" applyFill="1" applyBorder="1" applyAlignment="1">
      <alignment horizontal="left" vertical="center"/>
    </xf>
    <xf numFmtId="0" fontId="68" fillId="0" borderId="83" xfId="0" applyFont="1" applyBorder="1" applyAlignment="1">
      <alignment horizontal="center" vertical="center" wrapText="1"/>
    </xf>
    <xf numFmtId="0" fontId="32" fillId="0" borderId="83" xfId="0" applyFont="1" applyBorder="1" applyAlignment="1">
      <alignment horizontal="center" vertical="center" wrapText="1"/>
    </xf>
    <xf numFmtId="0" fontId="8" fillId="26" borderId="4" xfId="0" applyFont="1" applyFill="1" applyBorder="1" applyAlignment="1">
      <alignment horizontal="left" vertical="center"/>
    </xf>
    <xf numFmtId="0" fontId="3" fillId="0" borderId="0" xfId="0" applyFont="1" applyAlignment="1">
      <alignment horizontal="center"/>
    </xf>
    <xf numFmtId="0" fontId="0" fillId="0" borderId="0" xfId="0"/>
    <xf numFmtId="0" fontId="20" fillId="23" borderId="4" xfId="0" applyFont="1" applyFill="1" applyBorder="1" applyAlignment="1">
      <alignment horizontal="left" vertical="center"/>
    </xf>
    <xf numFmtId="0" fontId="8" fillId="22" borderId="4" xfId="0" applyFont="1" applyFill="1" applyBorder="1" applyAlignment="1">
      <alignment horizontal="left" vertical="center"/>
    </xf>
    <xf numFmtId="0" fontId="21" fillId="24" borderId="4" xfId="0" applyFont="1" applyFill="1" applyBorder="1" applyAlignment="1">
      <alignment horizontal="left" vertical="center"/>
    </xf>
    <xf numFmtId="0" fontId="8" fillId="23" borderId="4" xfId="0" applyFont="1" applyFill="1" applyBorder="1" applyAlignment="1">
      <alignment horizontal="left" vertical="center"/>
    </xf>
    <xf numFmtId="0" fontId="22" fillId="25" borderId="4" xfId="0" applyFont="1" applyFill="1" applyBorder="1" applyAlignment="1">
      <alignment horizontal="left" vertical="center"/>
    </xf>
    <xf numFmtId="0" fontId="18" fillId="20" borderId="4" xfId="0" applyFont="1" applyFill="1" applyBorder="1" applyAlignment="1">
      <alignment horizontal="left" vertical="center"/>
    </xf>
    <xf numFmtId="0" fontId="8" fillId="21" borderId="4" xfId="0" applyFont="1" applyFill="1" applyBorder="1" applyAlignment="1">
      <alignment horizontal="left" vertical="center"/>
    </xf>
    <xf numFmtId="0" fontId="19" fillId="22" borderId="4" xfId="0" applyFont="1" applyFill="1" applyBorder="1" applyAlignment="1">
      <alignment horizontal="left" vertical="center"/>
    </xf>
    <xf numFmtId="0" fontId="1" fillId="27" borderId="1" xfId="0" applyFont="1" applyFill="1" applyBorder="1" applyAlignment="1">
      <alignment horizontal="center" vertical="center"/>
    </xf>
    <xf numFmtId="0" fontId="1" fillId="4"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9" borderId="1" xfId="0" applyFont="1" applyFill="1" applyBorder="1" applyAlignment="1">
      <alignment horizontal="center" vertical="center"/>
    </xf>
    <xf numFmtId="0" fontId="23" fillId="9" borderId="1" xfId="0" applyFont="1" applyFill="1" applyBorder="1" applyAlignment="1">
      <alignment horizontal="center" vertical="center"/>
    </xf>
    <xf numFmtId="0" fontId="1" fillId="11" borderId="1" xfId="0" applyFont="1" applyFill="1" applyBorder="1" applyAlignment="1">
      <alignment horizontal="center" vertical="center"/>
    </xf>
    <xf numFmtId="0" fontId="23" fillId="11" borderId="1" xfId="0" applyFont="1" applyFill="1" applyBorder="1" applyAlignment="1">
      <alignment horizontal="center" vertical="center"/>
    </xf>
    <xf numFmtId="0" fontId="1" fillId="12" borderId="1" xfId="0" applyFont="1" applyFill="1" applyBorder="1" applyAlignment="1">
      <alignment horizontal="center" vertical="center"/>
    </xf>
    <xf numFmtId="0" fontId="1" fillId="13" borderId="1" xfId="0" applyFont="1" applyFill="1" applyBorder="1" applyAlignment="1">
      <alignment horizontal="center" vertical="center"/>
    </xf>
    <xf numFmtId="0" fontId="23" fillId="28" borderId="1" xfId="0" applyFont="1" applyFill="1" applyBorder="1" applyAlignment="1">
      <alignment horizontal="center" vertical="center"/>
    </xf>
    <xf numFmtId="0" fontId="1" fillId="29" borderId="1" xfId="0" applyFont="1" applyFill="1" applyBorder="1" applyAlignment="1">
      <alignment horizontal="center" vertical="center"/>
    </xf>
    <xf numFmtId="0" fontId="23" fillId="30" borderId="1" xfId="0" applyFont="1" applyFill="1" applyBorder="1" applyAlignment="1">
      <alignment horizontal="center" vertical="center"/>
    </xf>
    <xf numFmtId="0" fontId="1" fillId="16" borderId="1" xfId="0" applyFont="1" applyFill="1" applyBorder="1" applyAlignment="1">
      <alignment horizontal="center" vertical="center"/>
    </xf>
    <xf numFmtId="0" fontId="1" fillId="22" borderId="1" xfId="0" applyFont="1" applyFill="1" applyBorder="1" applyAlignment="1">
      <alignment horizontal="center" vertical="center"/>
    </xf>
    <xf numFmtId="0" fontId="1" fillId="32" borderId="1" xfId="0" applyFont="1" applyFill="1" applyBorder="1" applyAlignment="1">
      <alignment horizontal="center" vertical="center"/>
    </xf>
    <xf numFmtId="0" fontId="1" fillId="24" borderId="1" xfId="0" applyFont="1" applyFill="1" applyBorder="1" applyAlignment="1">
      <alignment horizontal="center" vertical="center"/>
    </xf>
    <xf numFmtId="0" fontId="1" fillId="25" borderId="1" xfId="0" applyFont="1" applyFill="1" applyBorder="1" applyAlignment="1">
      <alignment horizontal="center" vertical="center"/>
    </xf>
    <xf numFmtId="0" fontId="23" fillId="33" borderId="1" xfId="0" applyFont="1" applyFill="1" applyBorder="1" applyAlignment="1">
      <alignment horizontal="center" vertical="center"/>
    </xf>
    <xf numFmtId="0" fontId="1" fillId="17" borderId="1" xfId="0" applyFont="1" applyFill="1" applyBorder="1" applyAlignment="1">
      <alignment horizontal="center" vertical="center"/>
    </xf>
    <xf numFmtId="0" fontId="23" fillId="31" borderId="1" xfId="0" applyFont="1" applyFill="1" applyBorder="1" applyAlignment="1">
      <alignment horizontal="center" vertical="center"/>
    </xf>
    <xf numFmtId="0" fontId="1" fillId="19" borderId="1" xfId="0" applyFont="1" applyFill="1" applyBorder="1" applyAlignment="1">
      <alignment horizontal="center" vertical="center"/>
    </xf>
    <xf numFmtId="0" fontId="1" fillId="20" borderId="1" xfId="0" applyFont="1" applyFill="1" applyBorder="1" applyAlignment="1">
      <alignment horizontal="center" vertical="center"/>
    </xf>
    <xf numFmtId="0" fontId="23" fillId="34" borderId="1" xfId="0" applyFont="1" applyFill="1" applyBorder="1" applyAlignment="1">
      <alignment horizontal="center" vertical="center" wrapText="1"/>
    </xf>
    <xf numFmtId="0" fontId="23" fillId="34" borderId="1" xfId="0" applyFont="1" applyFill="1" applyBorder="1" applyAlignment="1">
      <alignment horizontal="center" vertical="center"/>
    </xf>
    <xf numFmtId="0" fontId="8" fillId="35" borderId="1" xfId="0" applyFont="1" applyFill="1" applyBorder="1" applyAlignment="1">
      <alignment horizontal="center"/>
    </xf>
    <xf numFmtId="0" fontId="8" fillId="3" borderId="20" xfId="0" applyFont="1" applyFill="1" applyBorder="1" applyAlignment="1">
      <alignment horizontal="center" vertical="center" wrapText="1"/>
    </xf>
    <xf numFmtId="0" fontId="2" fillId="0" borderId="23" xfId="0" applyFont="1" applyBorder="1"/>
    <xf numFmtId="0" fontId="8" fillId="3" borderId="4" xfId="0" applyFont="1" applyFill="1" applyBorder="1" applyAlignment="1">
      <alignment horizontal="center" vertical="center" wrapText="1"/>
    </xf>
    <xf numFmtId="0" fontId="30" fillId="38" borderId="4"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2" fillId="0" borderId="25" xfId="0" applyFont="1" applyBorder="1"/>
    <xf numFmtId="0" fontId="29" fillId="3" borderId="20"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2" fillId="0" borderId="24" xfId="0" applyFont="1" applyBorder="1"/>
    <xf numFmtId="0" fontId="1" fillId="9" borderId="28" xfId="0" applyFont="1" applyFill="1" applyBorder="1" applyAlignment="1">
      <alignment horizontal="center" vertical="center"/>
    </xf>
    <xf numFmtId="0" fontId="23" fillId="9" borderId="28" xfId="0" applyFont="1" applyFill="1" applyBorder="1" applyAlignment="1">
      <alignment horizontal="center" vertical="center"/>
    </xf>
    <xf numFmtId="0" fontId="3" fillId="0" borderId="29" xfId="0" applyFont="1" applyBorder="1" applyAlignment="1">
      <alignment horizontal="center" vertical="center"/>
    </xf>
    <xf numFmtId="0" fontId="2" fillId="0" borderId="30" xfId="0" applyFont="1" applyBorder="1"/>
    <xf numFmtId="0" fontId="2" fillId="0" borderId="31" xfId="0" applyFont="1" applyBorder="1"/>
    <xf numFmtId="0" fontId="3" fillId="0" borderId="32" xfId="0" applyFont="1" applyBorder="1" applyAlignment="1">
      <alignment horizontal="center" vertical="center"/>
    </xf>
    <xf numFmtId="0" fontId="2" fillId="0" borderId="33" xfId="0" applyFont="1" applyBorder="1"/>
    <xf numFmtId="0" fontId="2" fillId="0" borderId="34" xfId="0" applyFont="1" applyBorder="1"/>
    <xf numFmtId="0" fontId="30" fillId="10" borderId="4" xfId="0" applyFont="1" applyFill="1" applyBorder="1" applyAlignment="1">
      <alignment horizontal="left" vertical="center"/>
    </xf>
    <xf numFmtId="0" fontId="8" fillId="0" borderId="1" xfId="0" applyFont="1" applyBorder="1" applyAlignment="1">
      <alignment horizontal="center" vertical="center"/>
    </xf>
    <xf numFmtId="0" fontId="2" fillId="0" borderId="35" xfId="0" applyFont="1" applyBorder="1"/>
    <xf numFmtId="0" fontId="3" fillId="0" borderId="37"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2" fillId="0" borderId="40" xfId="0" applyFont="1" applyBorder="1"/>
    <xf numFmtId="0" fontId="3" fillId="0" borderId="48" xfId="0" applyFont="1" applyBorder="1" applyAlignment="1">
      <alignment horizontal="center" vertical="center"/>
    </xf>
    <xf numFmtId="0" fontId="2" fillId="0" borderId="49" xfId="0" applyFont="1" applyBorder="1"/>
    <xf numFmtId="0" fontId="3" fillId="0" borderId="50" xfId="0" applyFont="1" applyBorder="1" applyAlignment="1">
      <alignment horizontal="center" vertical="center"/>
    </xf>
    <xf numFmtId="0" fontId="2" fillId="0" borderId="51" xfId="0" applyFont="1" applyBorder="1"/>
    <xf numFmtId="0" fontId="2" fillId="0" borderId="52" xfId="0" applyFont="1" applyBorder="1"/>
    <xf numFmtId="0" fontId="30" fillId="9" borderId="4" xfId="0" applyFont="1" applyFill="1" applyBorder="1" applyAlignment="1">
      <alignment horizontal="left" vertical="center"/>
    </xf>
    <xf numFmtId="0" fontId="8" fillId="3" borderId="1" xfId="0" applyFont="1" applyFill="1" applyBorder="1" applyAlignment="1">
      <alignment horizontal="left" vertical="center"/>
    </xf>
    <xf numFmtId="0" fontId="3" fillId="0" borderId="32" xfId="0" applyFont="1" applyBorder="1" applyAlignment="1">
      <alignment horizontal="center"/>
    </xf>
    <xf numFmtId="0" fontId="3" fillId="0" borderId="29" xfId="0" applyFont="1" applyBorder="1" applyAlignment="1">
      <alignment horizontal="center"/>
    </xf>
    <xf numFmtId="0" fontId="37" fillId="0" borderId="1" xfId="0" applyFont="1" applyBorder="1" applyAlignment="1">
      <alignment horizontal="center"/>
    </xf>
    <xf numFmtId="0" fontId="1" fillId="12" borderId="28" xfId="0" applyFont="1" applyFill="1" applyBorder="1" applyAlignment="1">
      <alignment horizontal="center" vertical="center"/>
    </xf>
    <xf numFmtId="0" fontId="8" fillId="3" borderId="1" xfId="0" applyFont="1" applyFill="1" applyBorder="1" applyAlignment="1">
      <alignment horizontal="center" vertical="center"/>
    </xf>
    <xf numFmtId="0" fontId="41" fillId="44" borderId="1" xfId="0" applyFont="1" applyFill="1" applyBorder="1" applyAlignment="1">
      <alignment horizontal="center" vertical="center"/>
    </xf>
    <xf numFmtId="0" fontId="30" fillId="30" borderId="4" xfId="0" applyFont="1" applyFill="1" applyBorder="1" applyAlignment="1">
      <alignment horizontal="left" vertical="center"/>
    </xf>
    <xf numFmtId="0" fontId="23" fillId="3" borderId="1" xfId="0" applyFont="1" applyFill="1" applyBorder="1" applyAlignment="1">
      <alignment horizontal="center" vertical="center"/>
    </xf>
    <xf numFmtId="3" fontId="3" fillId="0" borderId="20" xfId="0" applyNumberFormat="1" applyFont="1" applyBorder="1" applyAlignment="1">
      <alignment horizontal="left" vertical="center"/>
    </xf>
    <xf numFmtId="0" fontId="2" fillId="0" borderId="76" xfId="0" applyFont="1" applyBorder="1"/>
    <xf numFmtId="0" fontId="3" fillId="0" borderId="20" xfId="0" applyFont="1" applyBorder="1" applyAlignment="1">
      <alignment horizontal="left" vertical="center"/>
    </xf>
    <xf numFmtId="3" fontId="8" fillId="0" borderId="20" xfId="0" applyNumberFormat="1" applyFont="1" applyBorder="1" applyAlignment="1">
      <alignment horizontal="center" vertical="center"/>
    </xf>
    <xf numFmtId="0" fontId="45" fillId="3" borderId="38" xfId="0" applyFont="1" applyFill="1" applyBorder="1" applyAlignment="1">
      <alignment horizontal="left" vertical="center"/>
    </xf>
    <xf numFmtId="0" fontId="45" fillId="3" borderId="39" xfId="0" applyFont="1" applyFill="1" applyBorder="1" applyAlignment="1">
      <alignment horizontal="left" vertical="center"/>
    </xf>
    <xf numFmtId="0" fontId="1" fillId="49" borderId="4" xfId="0" applyFont="1" applyFill="1" applyBorder="1" applyAlignment="1">
      <alignment horizontal="center" vertical="center"/>
    </xf>
    <xf numFmtId="0" fontId="24" fillId="0" borderId="70" xfId="0" applyFont="1" applyBorder="1" applyAlignment="1">
      <alignment horizontal="center" vertical="center" wrapText="1"/>
    </xf>
    <xf numFmtId="0" fontId="2" fillId="0" borderId="94" xfId="0" applyFont="1" applyBorder="1"/>
    <xf numFmtId="3" fontId="24" fillId="0" borderId="93" xfId="0" applyNumberFormat="1" applyFont="1" applyBorder="1" applyAlignment="1">
      <alignment horizontal="center" vertical="center"/>
    </xf>
    <xf numFmtId="0" fontId="2" fillId="0" borderId="69" xfId="0" applyFont="1" applyBorder="1"/>
    <xf numFmtId="0" fontId="45" fillId="3" borderId="58" xfId="0" applyFont="1" applyFill="1" applyBorder="1" applyAlignment="1">
      <alignment horizontal="left" vertical="center"/>
    </xf>
    <xf numFmtId="0" fontId="3" fillId="37" borderId="117" xfId="0" applyFont="1" applyFill="1" applyBorder="1" applyAlignment="1">
      <alignment horizontal="center" vertical="center"/>
    </xf>
    <xf numFmtId="0" fontId="3" fillId="37" borderId="119" xfId="0" applyFont="1" applyFill="1" applyBorder="1" applyAlignment="1">
      <alignment horizontal="center" vertical="center"/>
    </xf>
    <xf numFmtId="0" fontId="3" fillId="37" borderId="118" xfId="0" applyFont="1" applyFill="1" applyBorder="1" applyAlignment="1">
      <alignment horizontal="center" vertical="center"/>
    </xf>
    <xf numFmtId="0" fontId="3" fillId="45" borderId="117" xfId="0" applyFont="1" applyFill="1" applyBorder="1" applyAlignment="1">
      <alignment horizontal="center" vertical="center"/>
    </xf>
    <xf numFmtId="0" fontId="3" fillId="45" borderId="119" xfId="0" applyFont="1" applyFill="1" applyBorder="1" applyAlignment="1">
      <alignment horizontal="center" vertical="center"/>
    </xf>
    <xf numFmtId="0" fontId="3" fillId="45" borderId="118" xfId="0" applyFont="1" applyFill="1" applyBorder="1" applyAlignment="1">
      <alignment horizontal="center" vertical="center"/>
    </xf>
    <xf numFmtId="0" fontId="3" fillId="37" borderId="114" xfId="0" applyFont="1" applyFill="1" applyBorder="1" applyAlignment="1">
      <alignment horizontal="center" vertical="center"/>
    </xf>
    <xf numFmtId="0" fontId="3" fillId="37" borderId="115" xfId="0" applyFont="1" applyFill="1" applyBorder="1" applyAlignment="1">
      <alignment horizontal="center" vertical="center"/>
    </xf>
    <xf numFmtId="0" fontId="3" fillId="37" borderId="116" xfId="0" applyFont="1" applyFill="1" applyBorder="1" applyAlignment="1">
      <alignment horizontal="center" vertical="center"/>
    </xf>
    <xf numFmtId="0" fontId="3" fillId="0" borderId="113" xfId="0" applyFont="1" applyBorder="1" applyAlignment="1">
      <alignment horizontal="center" vertical="center"/>
    </xf>
    <xf numFmtId="0" fontId="3" fillId="0" borderId="113" xfId="0" applyFont="1" applyBorder="1" applyAlignment="1">
      <alignment horizontal="center" vertical="center" wrapText="1"/>
    </xf>
    <xf numFmtId="0" fontId="2" fillId="0" borderId="113" xfId="0" applyFont="1" applyBorder="1"/>
    <xf numFmtId="0" fontId="3" fillId="45" borderId="114" xfId="0" applyFont="1" applyFill="1" applyBorder="1" applyAlignment="1">
      <alignment horizontal="center" vertical="center"/>
    </xf>
    <xf numFmtId="0" fontId="3" fillId="45" borderId="115" xfId="0" applyFont="1" applyFill="1" applyBorder="1" applyAlignment="1">
      <alignment horizontal="center" vertical="center"/>
    </xf>
    <xf numFmtId="0" fontId="3" fillId="45" borderId="116" xfId="0" applyFont="1" applyFill="1" applyBorder="1" applyAlignment="1">
      <alignment horizontal="center" vertical="center"/>
    </xf>
    <xf numFmtId="0" fontId="3" fillId="37" borderId="96" xfId="0" applyFont="1" applyFill="1" applyBorder="1" applyAlignment="1">
      <alignment horizontal="center" vertical="center"/>
    </xf>
    <xf numFmtId="0" fontId="3" fillId="37" borderId="92" xfId="0" applyFont="1" applyFill="1" applyBorder="1" applyAlignment="1">
      <alignment horizontal="center" vertical="center"/>
    </xf>
    <xf numFmtId="0" fontId="3" fillId="37" borderId="74" xfId="0" applyFont="1" applyFill="1" applyBorder="1" applyAlignment="1">
      <alignment horizontal="center" vertical="center"/>
    </xf>
    <xf numFmtId="0" fontId="1" fillId="17" borderId="98" xfId="0" applyFont="1" applyFill="1" applyBorder="1" applyAlignment="1">
      <alignment horizontal="center" vertical="center"/>
    </xf>
    <xf numFmtId="0" fontId="1" fillId="17" borderId="99" xfId="0" applyFont="1" applyFill="1" applyBorder="1" applyAlignment="1">
      <alignment horizontal="center" vertical="center"/>
    </xf>
    <xf numFmtId="0" fontId="1" fillId="17" borderId="53" xfId="0" applyFont="1" applyFill="1" applyBorder="1" applyAlignment="1">
      <alignment horizontal="center" vertical="center"/>
    </xf>
    <xf numFmtId="0" fontId="24" fillId="55" borderId="98" xfId="0" applyFont="1" applyFill="1" applyBorder="1" applyAlignment="1">
      <alignment horizontal="center" vertical="center"/>
    </xf>
    <xf numFmtId="0" fontId="24" fillId="55" borderId="99" xfId="0" applyFont="1" applyFill="1" applyBorder="1" applyAlignment="1">
      <alignment horizontal="center" vertical="center"/>
    </xf>
    <xf numFmtId="0" fontId="24" fillId="55" borderId="53" xfId="0" applyFont="1" applyFill="1" applyBorder="1" applyAlignment="1">
      <alignment horizontal="center" vertical="center"/>
    </xf>
    <xf numFmtId="0" fontId="3" fillId="37" borderId="29" xfId="0" applyFont="1" applyFill="1" applyBorder="1" applyAlignment="1">
      <alignment horizontal="center" vertical="center"/>
    </xf>
    <xf numFmtId="0" fontId="3" fillId="37" borderId="90" xfId="0" applyFont="1" applyFill="1" applyBorder="1" applyAlignment="1">
      <alignment horizontal="center" vertical="center"/>
    </xf>
    <xf numFmtId="0" fontId="3" fillId="37" borderId="31" xfId="0" applyFont="1" applyFill="1" applyBorder="1" applyAlignment="1">
      <alignment horizontal="center" vertical="center"/>
    </xf>
    <xf numFmtId="0" fontId="3" fillId="37" borderId="20" xfId="0" applyFont="1" applyFill="1" applyBorder="1" applyAlignment="1">
      <alignment horizontal="center" vertical="center"/>
    </xf>
    <xf numFmtId="0" fontId="3" fillId="37" borderId="27" xfId="0" applyFont="1" applyFill="1" applyBorder="1" applyAlignment="1">
      <alignment horizontal="center" vertical="center"/>
    </xf>
    <xf numFmtId="0" fontId="3" fillId="37" borderId="76" xfId="0" applyFont="1" applyFill="1" applyBorder="1" applyAlignment="1">
      <alignment horizontal="center" vertical="center"/>
    </xf>
    <xf numFmtId="0" fontId="3" fillId="0" borderId="20" xfId="0" applyFont="1" applyBorder="1" applyAlignment="1">
      <alignment horizontal="center" vertical="center"/>
    </xf>
    <xf numFmtId="173" fontId="3" fillId="0" borderId="20" xfId="0" applyNumberFormat="1" applyFont="1" applyBorder="1" applyAlignment="1">
      <alignment horizontal="center" vertical="center"/>
    </xf>
    <xf numFmtId="0" fontId="3" fillId="0" borderId="76" xfId="0" applyFont="1" applyBorder="1" applyAlignment="1">
      <alignment horizontal="center" vertical="center"/>
    </xf>
    <xf numFmtId="173" fontId="3" fillId="0" borderId="76" xfId="0" applyNumberFormat="1" applyFont="1" applyBorder="1" applyAlignment="1">
      <alignment horizontal="center" vertical="center"/>
    </xf>
    <xf numFmtId="0" fontId="3" fillId="0" borderId="20" xfId="0" applyFont="1" applyBorder="1" applyAlignment="1">
      <alignment horizontal="center" vertical="center" wrapText="1"/>
    </xf>
    <xf numFmtId="0" fontId="3" fillId="37" borderId="113" xfId="0" applyFont="1" applyFill="1" applyBorder="1" applyAlignment="1">
      <alignment horizontal="center" vertical="center"/>
    </xf>
    <xf numFmtId="0" fontId="0" fillId="0" borderId="114" xfId="0" applyBorder="1" applyAlignment="1">
      <alignment horizontal="center"/>
    </xf>
    <xf numFmtId="0" fontId="0" fillId="0" borderId="115" xfId="0" applyBorder="1" applyAlignment="1">
      <alignment horizontal="center"/>
    </xf>
    <xf numFmtId="0" fontId="0" fillId="0" borderId="116" xfId="0" applyBorder="1" applyAlignment="1">
      <alignment horizontal="center"/>
    </xf>
    <xf numFmtId="0" fontId="30" fillId="53" borderId="4" xfId="0" applyFont="1" applyFill="1" applyBorder="1" applyAlignment="1">
      <alignment horizontal="left" vertical="center"/>
    </xf>
    <xf numFmtId="0" fontId="3" fillId="45" borderId="113" xfId="0" applyFont="1" applyFill="1" applyBorder="1" applyAlignment="1">
      <alignment horizontal="center" vertical="center"/>
    </xf>
    <xf numFmtId="14" fontId="3" fillId="0" borderId="76" xfId="0" applyNumberFormat="1" applyFont="1" applyBorder="1" applyAlignment="1">
      <alignment horizontal="center" vertical="center"/>
    </xf>
    <xf numFmtId="0" fontId="30" fillId="18" borderId="96" xfId="0" applyFont="1" applyFill="1" applyBorder="1" applyAlignment="1">
      <alignment horizontal="left" vertical="center"/>
    </xf>
    <xf numFmtId="0" fontId="30" fillId="18" borderId="92" xfId="0" applyFont="1" applyFill="1" applyBorder="1" applyAlignment="1">
      <alignment horizontal="left" vertical="center"/>
    </xf>
    <xf numFmtId="0" fontId="30" fillId="18" borderId="74" xfId="0" applyFont="1" applyFill="1" applyBorder="1" applyAlignment="1">
      <alignment horizontal="left" vertical="center"/>
    </xf>
    <xf numFmtId="0" fontId="3" fillId="0" borderId="4" xfId="0" applyFont="1" applyBorder="1" applyAlignment="1">
      <alignment horizontal="center" vertical="center" wrapText="1"/>
    </xf>
    <xf numFmtId="0" fontId="3" fillId="10" borderId="4" xfId="0" applyFont="1" applyFill="1" applyBorder="1" applyAlignment="1">
      <alignment horizontal="center" vertical="center"/>
    </xf>
    <xf numFmtId="0" fontId="3" fillId="0" borderId="4" xfId="0" applyFont="1" applyBorder="1"/>
    <xf numFmtId="0" fontId="8" fillId="18" borderId="1" xfId="0" applyFont="1" applyFill="1" applyBorder="1" applyAlignment="1">
      <alignment horizontal="center" vertical="center"/>
    </xf>
    <xf numFmtId="0" fontId="8" fillId="52" borderId="4" xfId="0" applyFont="1" applyFill="1" applyBorder="1" applyAlignment="1">
      <alignment horizontal="center" vertical="center"/>
    </xf>
    <xf numFmtId="0" fontId="3" fillId="0" borderId="4" xfId="0" applyFont="1" applyBorder="1" applyAlignment="1">
      <alignment horizontal="center" vertical="center"/>
    </xf>
    <xf numFmtId="0" fontId="2" fillId="0" borderId="95" xfId="0" applyFont="1" applyBorder="1"/>
    <xf numFmtId="0" fontId="2" fillId="0" borderId="97" xfId="0" applyFont="1" applyBorder="1"/>
    <xf numFmtId="0" fontId="2" fillId="0" borderId="32" xfId="0" applyFont="1" applyBorder="1"/>
    <xf numFmtId="0" fontId="3" fillId="0" borderId="4" xfId="0" applyFont="1" applyBorder="1" applyAlignment="1">
      <alignment horizontal="center"/>
    </xf>
    <xf numFmtId="0" fontId="8" fillId="0" borderId="29" xfId="0" applyFont="1" applyBorder="1" applyAlignment="1">
      <alignment horizontal="center" vertical="center"/>
    </xf>
    <xf numFmtId="0" fontId="3" fillId="10" borderId="29" xfId="0" applyFont="1" applyFill="1" applyBorder="1" applyAlignment="1">
      <alignment horizontal="center" vertical="center"/>
    </xf>
    <xf numFmtId="0" fontId="3" fillId="0" borderId="7" xfId="0" applyFont="1" applyBorder="1" applyAlignment="1">
      <alignment horizontal="center" vertical="center"/>
    </xf>
    <xf numFmtId="0" fontId="3" fillId="45" borderId="4" xfId="0" applyFont="1" applyFill="1" applyBorder="1"/>
    <xf numFmtId="14" fontId="3" fillId="0" borderId="20" xfId="0" applyNumberFormat="1" applyFont="1" applyBorder="1" applyAlignment="1">
      <alignment horizontal="center" vertical="center"/>
    </xf>
    <xf numFmtId="0" fontId="8" fillId="0" borderId="4" xfId="0" applyFont="1" applyBorder="1" applyAlignment="1">
      <alignment horizontal="center"/>
    </xf>
    <xf numFmtId="0" fontId="8" fillId="3" borderId="58" xfId="0" applyFont="1" applyFill="1" applyBorder="1" applyAlignment="1">
      <alignment horizontal="left" vertical="center"/>
    </xf>
    <xf numFmtId="0" fontId="8" fillId="3" borderId="38" xfId="0" applyFont="1" applyFill="1" applyBorder="1" applyAlignment="1">
      <alignment horizontal="left" vertical="center"/>
    </xf>
    <xf numFmtId="0" fontId="8" fillId="3" borderId="39" xfId="0" applyFont="1" applyFill="1" applyBorder="1" applyAlignment="1">
      <alignment horizontal="left" vertical="center"/>
    </xf>
    <xf numFmtId="0" fontId="30" fillId="21" borderId="4" xfId="0" applyFont="1" applyFill="1" applyBorder="1" applyAlignment="1">
      <alignment horizontal="left" vertical="center"/>
    </xf>
    <xf numFmtId="0" fontId="23" fillId="0" borderId="0" xfId="0" applyFont="1" applyAlignment="1">
      <alignment horizontal="center"/>
    </xf>
    <xf numFmtId="0" fontId="41" fillId="3" borderId="1" xfId="0" applyFont="1" applyFill="1" applyBorder="1" applyAlignment="1">
      <alignment horizontal="left" vertical="center"/>
    </xf>
    <xf numFmtId="0" fontId="23" fillId="3" borderId="58" xfId="0" applyFont="1" applyFill="1" applyBorder="1" applyAlignment="1">
      <alignment horizontal="left" vertical="center"/>
    </xf>
    <xf numFmtId="0" fontId="23" fillId="3" borderId="38" xfId="0" applyFont="1" applyFill="1" applyBorder="1" applyAlignment="1">
      <alignment horizontal="left" vertical="center"/>
    </xf>
    <xf numFmtId="0" fontId="23" fillId="3" borderId="39" xfId="0" applyFont="1" applyFill="1" applyBorder="1" applyAlignment="1">
      <alignment horizontal="left" vertical="center"/>
    </xf>
    <xf numFmtId="0" fontId="8" fillId="3" borderId="73" xfId="0" applyFont="1" applyFill="1" applyBorder="1" applyAlignment="1">
      <alignment horizontal="center" vertical="center" wrapText="1"/>
    </xf>
    <xf numFmtId="0" fontId="30" fillId="56" borderId="4" xfId="0" applyFont="1" applyFill="1" applyBorder="1" applyAlignment="1">
      <alignment horizontal="left" vertical="center"/>
    </xf>
    <xf numFmtId="0" fontId="8" fillId="0" borderId="70" xfId="0" applyFont="1" applyBorder="1" applyAlignment="1">
      <alignment horizontal="center" vertical="center" wrapText="1"/>
    </xf>
    <xf numFmtId="0" fontId="2" fillId="0" borderId="93" xfId="0" applyFont="1" applyBorder="1"/>
    <xf numFmtId="0" fontId="30" fillId="57" borderId="4" xfId="0" applyFont="1" applyFill="1" applyBorder="1" applyAlignment="1">
      <alignment horizontal="left" vertical="center"/>
    </xf>
    <xf numFmtId="0" fontId="3" fillId="0" borderId="58" xfId="0" applyFont="1" applyBorder="1" applyAlignment="1">
      <alignment horizontal="left" vertical="center"/>
    </xf>
    <xf numFmtId="0" fontId="2" fillId="0" borderId="106" xfId="0" applyFont="1" applyBorder="1"/>
    <xf numFmtId="0" fontId="3" fillId="0" borderId="4" xfId="0" applyFont="1" applyBorder="1" applyAlignment="1">
      <alignment horizontal="left" vertical="center"/>
    </xf>
    <xf numFmtId="0" fontId="41" fillId="33" borderId="1" xfId="0" applyFont="1" applyFill="1" applyBorder="1" applyAlignment="1">
      <alignment horizontal="left" vertical="center"/>
    </xf>
    <xf numFmtId="0" fontId="8" fillId="3" borderId="4" xfId="0" applyFont="1" applyFill="1" applyBorder="1" applyAlignment="1">
      <alignment horizontal="center" vertical="center"/>
    </xf>
    <xf numFmtId="0" fontId="23" fillId="3" borderId="4" xfId="0" applyFont="1" applyFill="1" applyBorder="1" applyAlignment="1">
      <alignment horizontal="left" vertical="center"/>
    </xf>
    <xf numFmtId="0" fontId="38" fillId="0" borderId="6" xfId="0" applyFont="1" applyBorder="1" applyAlignment="1">
      <alignment horizontal="center" wrapText="1"/>
    </xf>
    <xf numFmtId="0" fontId="3" fillId="59" borderId="6" xfId="0" applyFont="1" applyFill="1" applyBorder="1" applyAlignment="1">
      <alignment horizontal="center" vertical="center"/>
    </xf>
    <xf numFmtId="171" fontId="3" fillId="60" borderId="6" xfId="0" applyNumberFormat="1" applyFont="1" applyFill="1" applyBorder="1" applyAlignment="1">
      <alignment horizontal="center" vertical="center"/>
    </xf>
    <xf numFmtId="3" fontId="3" fillId="60" borderId="6" xfId="0" applyNumberFormat="1" applyFont="1" applyFill="1" applyBorder="1" applyAlignment="1">
      <alignment horizontal="center" vertical="center"/>
    </xf>
    <xf numFmtId="0" fontId="31" fillId="59" borderId="23" xfId="0" applyFont="1" applyFill="1" applyBorder="1" applyAlignment="1">
      <alignment horizontal="center"/>
    </xf>
    <xf numFmtId="171" fontId="31" fillId="60" borderId="23" xfId="0" applyNumberFormat="1" applyFont="1" applyFill="1" applyBorder="1" applyAlignment="1">
      <alignment horizontal="center"/>
    </xf>
    <xf numFmtId="0" fontId="3" fillId="61" borderId="6" xfId="0" applyFont="1" applyFill="1" applyBorder="1" applyAlignment="1">
      <alignment horizontal="center" vertical="center"/>
    </xf>
    <xf numFmtId="3" fontId="3" fillId="61" borderId="6" xfId="0" applyNumberFormat="1" applyFont="1" applyFill="1" applyBorder="1" applyAlignment="1">
      <alignment horizontal="center" vertical="center"/>
    </xf>
    <xf numFmtId="0" fontId="31" fillId="61" borderId="5" xfId="0" applyFont="1" applyFill="1" applyBorder="1" applyAlignment="1">
      <alignment horizontal="center"/>
    </xf>
    <xf numFmtId="171" fontId="31" fillId="60" borderId="6" xfId="0" applyNumberFormat="1" applyFont="1" applyFill="1" applyBorder="1" applyAlignment="1">
      <alignment horizontal="center"/>
    </xf>
    <xf numFmtId="3" fontId="31" fillId="61" borderId="6" xfId="0" applyNumberFormat="1" applyFont="1" applyFill="1" applyBorder="1" applyAlignment="1">
      <alignment horizontal="center"/>
    </xf>
    <xf numFmtId="3" fontId="31" fillId="62" borderId="23" xfId="0" applyNumberFormat="1" applyFont="1" applyFill="1" applyBorder="1" applyAlignment="1">
      <alignment horizontal="center"/>
    </xf>
    <xf numFmtId="0" fontId="31" fillId="63" borderId="34" xfId="0" applyFont="1" applyFill="1" applyBorder="1" applyAlignment="1">
      <alignment horizontal="center"/>
    </xf>
    <xf numFmtId="3" fontId="31" fillId="63" borderId="23" xfId="0" applyNumberFormat="1" applyFont="1" applyFill="1" applyBorder="1" applyAlignment="1">
      <alignment horizontal="center"/>
    </xf>
    <xf numFmtId="0" fontId="31" fillId="64" borderId="34" xfId="0" applyFont="1" applyFill="1" applyBorder="1" applyAlignment="1">
      <alignment horizontal="center"/>
    </xf>
    <xf numFmtId="3" fontId="31" fillId="64" borderId="23" xfId="0" applyNumberFormat="1" applyFont="1" applyFill="1" applyBorder="1" applyAlignment="1">
      <alignment horizontal="center"/>
    </xf>
    <xf numFmtId="0" fontId="31" fillId="65" borderId="34" xfId="0" applyFont="1" applyFill="1" applyBorder="1" applyAlignment="1">
      <alignment horizontal="center"/>
    </xf>
    <xf numFmtId="3" fontId="31" fillId="65" borderId="23" xfId="0" applyNumberFormat="1" applyFont="1" applyFill="1" applyBorder="1" applyAlignment="1">
      <alignment horizontal="center"/>
    </xf>
    <xf numFmtId="0" fontId="3" fillId="66" borderId="6" xfId="0" applyFont="1" applyFill="1" applyBorder="1" applyAlignment="1">
      <alignment horizontal="center" vertical="center"/>
    </xf>
    <xf numFmtId="3" fontId="3" fillId="66" borderId="6" xfId="0" applyNumberFormat="1" applyFont="1" applyFill="1" applyBorder="1" applyAlignment="1">
      <alignment horizontal="center" vertical="center"/>
    </xf>
    <xf numFmtId="0" fontId="3" fillId="63" borderId="6" xfId="0" applyFont="1" applyFill="1" applyBorder="1" applyAlignment="1">
      <alignment horizontal="center" vertical="center"/>
    </xf>
    <xf numFmtId="3" fontId="3" fillId="63" borderId="6" xfId="0" applyNumberFormat="1" applyFont="1" applyFill="1" applyBorder="1" applyAlignment="1">
      <alignment horizontal="center" vertical="center"/>
    </xf>
    <xf numFmtId="0" fontId="3" fillId="62" borderId="6" xfId="0" applyFont="1" applyFill="1" applyBorder="1" applyAlignment="1">
      <alignment horizontal="center" vertical="center"/>
    </xf>
    <xf numFmtId="3" fontId="3" fillId="62" borderId="6" xfId="0" applyNumberFormat="1" applyFont="1" applyFill="1" applyBorder="1" applyAlignment="1">
      <alignment horizontal="center" vertical="center"/>
    </xf>
    <xf numFmtId="0" fontId="3" fillId="64" borderId="6" xfId="0" applyFont="1" applyFill="1" applyBorder="1" applyAlignment="1">
      <alignment horizontal="center" vertical="center"/>
    </xf>
    <xf numFmtId="3" fontId="3" fillId="64" borderId="6" xfId="0" applyNumberFormat="1" applyFont="1" applyFill="1" applyBorder="1" applyAlignment="1">
      <alignment horizontal="center" vertical="center"/>
    </xf>
    <xf numFmtId="0" fontId="31" fillId="60" borderId="6" xfId="0" applyFont="1" applyFill="1" applyBorder="1" applyAlignment="1">
      <alignment horizontal="center"/>
    </xf>
    <xf numFmtId="0" fontId="31" fillId="60" borderId="23" xfId="0" applyFont="1" applyFill="1" applyBorder="1" applyAlignment="1">
      <alignment horizontal="center"/>
    </xf>
    <xf numFmtId="0" fontId="3" fillId="60" borderId="6" xfId="0" applyFont="1" applyFill="1" applyBorder="1" applyAlignment="1">
      <alignment horizontal="center" vertical="center"/>
    </xf>
    <xf numFmtId="0" fontId="47" fillId="60" borderId="6" xfId="0" applyFont="1" applyFill="1" applyBorder="1" applyAlignment="1">
      <alignment horizontal="left"/>
    </xf>
    <xf numFmtId="171" fontId="46" fillId="60" borderId="6" xfId="0" applyNumberFormat="1" applyFont="1" applyFill="1" applyBorder="1" applyAlignment="1">
      <alignment horizontal="center"/>
    </xf>
    <xf numFmtId="3" fontId="31" fillId="60" borderId="23" xfId="0" applyNumberFormat="1" applyFont="1" applyFill="1" applyBorder="1" applyAlignment="1">
      <alignment horizontal="center"/>
    </xf>
    <xf numFmtId="0" fontId="47" fillId="67" borderId="6" xfId="0" applyFont="1" applyFill="1" applyBorder="1" applyAlignment="1">
      <alignment horizontal="left"/>
    </xf>
    <xf numFmtId="0" fontId="3" fillId="10" borderId="88" xfId="0" applyFont="1" applyFill="1" applyBorder="1" applyAlignment="1">
      <alignment horizontal="center" vertical="center"/>
    </xf>
    <xf numFmtId="0" fontId="3" fillId="0" borderId="27" xfId="0" applyFont="1" applyBorder="1" applyAlignment="1">
      <alignment horizontal="center" vertical="center"/>
    </xf>
    <xf numFmtId="0" fontId="3" fillId="59" borderId="27" xfId="0" applyFont="1" applyFill="1" applyBorder="1" applyAlignment="1">
      <alignment horizontal="center" vertical="center"/>
    </xf>
    <xf numFmtId="171" fontId="3" fillId="60" borderId="27" xfId="0" applyNumberFormat="1" applyFont="1" applyFill="1" applyBorder="1" applyAlignment="1">
      <alignment horizontal="center" vertical="center"/>
    </xf>
    <xf numFmtId="3" fontId="3" fillId="60" borderId="27" xfId="0" applyNumberFormat="1" applyFont="1" applyFill="1" applyBorder="1" applyAlignment="1">
      <alignment horizontal="center" vertical="center"/>
    </xf>
    <xf numFmtId="171" fontId="3" fillId="3" borderId="27" xfId="0" applyNumberFormat="1" applyFont="1" applyFill="1" applyBorder="1" applyAlignment="1">
      <alignment horizontal="center" vertical="center"/>
    </xf>
    <xf numFmtId="0" fontId="6" fillId="0" borderId="113" xfId="0" applyFont="1" applyBorder="1" applyAlignment="1">
      <alignment horizontal="center" vertical="center"/>
    </xf>
    <xf numFmtId="0" fontId="30" fillId="0" borderId="20" xfId="0" applyFont="1" applyBorder="1" applyAlignment="1">
      <alignment horizontal="center"/>
    </xf>
    <xf numFmtId="3" fontId="45" fillId="0" borderId="20" xfId="0" applyNumberFormat="1" applyFont="1" applyBorder="1" applyAlignment="1">
      <alignment horizontal="center"/>
    </xf>
    <xf numFmtId="0" fontId="45" fillId="0" borderId="20" xfId="0" applyFont="1" applyBorder="1" applyAlignment="1">
      <alignment horizontal="center"/>
    </xf>
    <xf numFmtId="0" fontId="30" fillId="0" borderId="113" xfId="0" applyFont="1" applyBorder="1" applyAlignment="1">
      <alignment horizontal="center"/>
    </xf>
    <xf numFmtId="3" fontId="45" fillId="0" borderId="113" xfId="0" applyNumberFormat="1" applyFont="1" applyBorder="1" applyAlignment="1">
      <alignment horizontal="center"/>
    </xf>
    <xf numFmtId="0" fontId="45" fillId="0" borderId="113" xfId="0" applyFont="1" applyBorder="1" applyAlignment="1">
      <alignment horizontal="center"/>
    </xf>
    <xf numFmtId="0" fontId="43" fillId="0" borderId="19" xfId="0" applyFont="1" applyBorder="1" applyAlignment="1">
      <alignment horizontal="center" vertical="center"/>
    </xf>
    <xf numFmtId="0" fontId="30" fillId="0" borderId="19" xfId="0" applyFont="1" applyBorder="1" applyAlignment="1">
      <alignment horizontal="center"/>
    </xf>
    <xf numFmtId="3" fontId="45" fillId="0" borderId="19" xfId="0" applyNumberFormat="1" applyFont="1" applyBorder="1" applyAlignment="1">
      <alignment horizontal="center"/>
    </xf>
    <xf numFmtId="0" fontId="45" fillId="0" borderId="19" xfId="0" applyFont="1" applyBorder="1" applyAlignment="1">
      <alignment horizontal="center"/>
    </xf>
    <xf numFmtId="0" fontId="30" fillId="0" borderId="27" xfId="0" applyFont="1" applyBorder="1" applyAlignment="1">
      <alignment horizontal="center"/>
    </xf>
    <xf numFmtId="3" fontId="45" fillId="0" borderId="27" xfId="0" applyNumberFormat="1" applyFont="1" applyBorder="1" applyAlignment="1">
      <alignment horizontal="center"/>
    </xf>
    <xf numFmtId="0" fontId="45" fillId="0" borderId="27" xfId="0" applyFont="1" applyBorder="1" applyAlignment="1">
      <alignment horizontal="center"/>
    </xf>
  </cellXfs>
  <cellStyles count="1">
    <cellStyle name="Normal" xfId="0" builtinId="0"/>
  </cellStyles>
  <dxfs count="1">
    <dxf>
      <fill>
        <patternFill patternType="solid">
          <fgColor theme="1"/>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charts/_rels/chart4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sz="1800" b="1" i="0">
                <a:solidFill>
                  <a:schemeClr val="dk1"/>
                </a:solidFill>
                <a:latin typeface="+mn-lt"/>
              </a:rPr>
              <a:t>Répartition du temps en post-production</a:t>
            </a:r>
          </a:p>
        </c:rich>
      </c:tx>
      <c:overlay val="0"/>
    </c:title>
    <c:autoTitleDeleted val="0"/>
    <c:plotArea>
      <c:layout/>
      <c:pieChart>
        <c:varyColors val="1"/>
        <c:ser>
          <c:idx val="0"/>
          <c:order val="0"/>
          <c:dPt>
            <c:idx val="0"/>
            <c:bubble3D val="0"/>
            <c:spPr>
              <a:solidFill>
                <a:schemeClr val="accent4"/>
              </a:solidFill>
            </c:spPr>
            <c:extLst>
              <c:ext xmlns:c16="http://schemas.microsoft.com/office/drawing/2014/chart" uri="{C3380CC4-5D6E-409C-BE32-E72D297353CC}">
                <c16:uniqueId val="{00000001-26CA-4445-BF97-E13BAF687910}"/>
              </c:ext>
            </c:extLst>
          </c:dPt>
          <c:dPt>
            <c:idx val="1"/>
            <c:bubble3D val="0"/>
            <c:spPr>
              <a:solidFill>
                <a:schemeClr val="accent4"/>
              </a:solidFill>
            </c:spPr>
            <c:extLst>
              <c:ext xmlns:c16="http://schemas.microsoft.com/office/drawing/2014/chart" uri="{C3380CC4-5D6E-409C-BE32-E72D297353CC}">
                <c16:uniqueId val="{00000003-26CA-4445-BF97-E13BAF687910}"/>
              </c:ext>
            </c:extLst>
          </c:dPt>
          <c:dPt>
            <c:idx val="2"/>
            <c:bubble3D val="0"/>
            <c:spPr>
              <a:solidFill>
                <a:schemeClr val="accent4"/>
              </a:solidFill>
            </c:spPr>
            <c:extLst>
              <c:ext xmlns:c16="http://schemas.microsoft.com/office/drawing/2014/chart" uri="{C3380CC4-5D6E-409C-BE32-E72D297353CC}">
                <c16:uniqueId val="{00000005-26CA-4445-BF97-E13BAF687910}"/>
              </c:ext>
            </c:extLst>
          </c:dPt>
          <c:dPt>
            <c:idx val="3"/>
            <c:bubble3D val="0"/>
            <c:spPr>
              <a:solidFill>
                <a:schemeClr val="accent4"/>
              </a:solidFill>
            </c:spPr>
            <c:extLst>
              <c:ext xmlns:c16="http://schemas.microsoft.com/office/drawing/2014/chart" uri="{C3380CC4-5D6E-409C-BE32-E72D297353CC}">
                <c16:uniqueId val="{00000007-26CA-4445-BF97-E13BAF687910}"/>
              </c:ext>
            </c:extLst>
          </c:dPt>
          <c:dPt>
            <c:idx val="4"/>
            <c:bubble3D val="0"/>
            <c:spPr>
              <a:solidFill>
                <a:schemeClr val="accent4"/>
              </a:solidFill>
            </c:spPr>
            <c:extLst>
              <c:ext xmlns:c16="http://schemas.microsoft.com/office/drawing/2014/chart" uri="{C3380CC4-5D6E-409C-BE32-E72D297353CC}">
                <c16:uniqueId val="{00000009-26CA-4445-BF97-E13BAF68791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'15- DATA &amp; POST-PROD'!$G$65:$G$69</c:f>
              <c:strCache>
                <c:ptCount val="5"/>
                <c:pt idx="0">
                  <c:v>TOTAL Montage Vidéo</c:v>
                </c:pt>
                <c:pt idx="1">
                  <c:v>TOTAL Montage et mixage son</c:v>
                </c:pt>
                <c:pt idx="2">
                  <c:v>TOTAL VFX et Infographie</c:v>
                </c:pt>
                <c:pt idx="3">
                  <c:v>TOTAL Etalonnage</c:v>
                </c:pt>
                <c:pt idx="4">
                  <c:v>TOTAL Laboratoire</c:v>
                </c:pt>
              </c:strCache>
            </c:strRef>
          </c:cat>
          <c:val>
            <c:numRef>
              <c:f>'15- DATA &amp; POST-PROD'!$H$65:$H$69</c:f>
              <c:numCache>
                <c:formatCode>General</c:formatCode>
                <c:ptCount val="5"/>
              </c:numCache>
            </c:numRef>
          </c:val>
          <c:extLst>
            <c:ext xmlns:c16="http://schemas.microsoft.com/office/drawing/2014/chart" uri="{C3380CC4-5D6E-409C-BE32-E72D297353CC}">
              <c16:uniqueId val="{0000000A-26CA-4445-BF97-E13BAF687910}"/>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2493-0245-A30E-FFB03F6B9766}"/>
              </c:ext>
            </c:extLst>
          </c:dPt>
          <c:dPt>
            <c:idx val="1"/>
            <c:bubble3D val="0"/>
            <c:spPr>
              <a:solidFill>
                <a:schemeClr val="accent2"/>
              </a:solidFill>
            </c:spPr>
            <c:extLst>
              <c:ext xmlns:c16="http://schemas.microsoft.com/office/drawing/2014/chart" uri="{C3380CC4-5D6E-409C-BE32-E72D297353CC}">
                <c16:uniqueId val="{00000003-2493-0245-A30E-FFB03F6B9766}"/>
              </c:ext>
            </c:extLst>
          </c:dPt>
          <c:dPt>
            <c:idx val="2"/>
            <c:bubble3D val="0"/>
            <c:spPr>
              <a:solidFill>
                <a:schemeClr val="accent3"/>
              </a:solidFill>
            </c:spPr>
            <c:extLst>
              <c:ext xmlns:c16="http://schemas.microsoft.com/office/drawing/2014/chart" uri="{C3380CC4-5D6E-409C-BE32-E72D297353CC}">
                <c16:uniqueId val="{00000005-2493-0245-A30E-FFB03F6B9766}"/>
              </c:ext>
            </c:extLst>
          </c:dPt>
          <c:dPt>
            <c:idx val="3"/>
            <c:bubble3D val="0"/>
            <c:spPr>
              <a:solidFill>
                <a:schemeClr val="accent4"/>
              </a:solidFill>
            </c:spPr>
            <c:extLst>
              <c:ext xmlns:c16="http://schemas.microsoft.com/office/drawing/2014/chart" uri="{C3380CC4-5D6E-409C-BE32-E72D297353CC}">
                <c16:uniqueId val="{00000007-2493-0245-A30E-FFB03F6B9766}"/>
              </c:ext>
            </c:extLst>
          </c:dPt>
          <c:dPt>
            <c:idx val="4"/>
            <c:bubble3D val="0"/>
            <c:spPr>
              <a:solidFill>
                <a:schemeClr val="accent5"/>
              </a:solidFill>
            </c:spPr>
            <c:extLst>
              <c:ext xmlns:c16="http://schemas.microsoft.com/office/drawing/2014/chart" uri="{C3380CC4-5D6E-409C-BE32-E72D297353CC}">
                <c16:uniqueId val="{00000009-2493-0245-A30E-FFB03F6B9766}"/>
              </c:ext>
            </c:extLst>
          </c:dPt>
          <c:dPt>
            <c:idx val="5"/>
            <c:bubble3D val="0"/>
            <c:spPr>
              <a:solidFill>
                <a:schemeClr val="accent6"/>
              </a:solidFill>
            </c:spPr>
            <c:extLst>
              <c:ext xmlns:c16="http://schemas.microsoft.com/office/drawing/2014/chart" uri="{C3380CC4-5D6E-409C-BE32-E72D297353CC}">
                <c16:uniqueId val="{0000000B-2493-0245-A30E-FFB03F6B976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'4- VEHICULES UTILITAIRES'!$J$122:$J$127</c:f>
              <c:strCache>
                <c:ptCount val="6"/>
                <c:pt idx="0">
                  <c:v>Camionette</c:v>
                </c:pt>
                <c:pt idx="1">
                  <c:v>Camion &lt;7t</c:v>
                </c:pt>
                <c:pt idx="2">
                  <c:v>Camion &gt;7t</c:v>
                </c:pt>
                <c:pt idx="3">
                  <c:v>Fret - avion</c:v>
                </c:pt>
                <c:pt idx="4">
                  <c:v>Fret - train</c:v>
                </c:pt>
                <c:pt idx="5">
                  <c:v>Fret - bateau</c:v>
                </c:pt>
              </c:strCache>
            </c:strRef>
          </c:cat>
          <c:val>
            <c:numRef>
              <c:f>'4- VEHICULES UTILITAIRES'!$M$122:$M$127</c:f>
              <c:numCache>
                <c:formatCode>General</c:formatCode>
                <c:ptCount val="6"/>
                <c:pt idx="0">
                  <c:v>0</c:v>
                </c:pt>
                <c:pt idx="1">
                  <c:v>0</c:v>
                </c:pt>
                <c:pt idx="2">
                  <c:v>0</c:v>
                </c:pt>
                <c:pt idx="3">
                  <c:v>0</c:v>
                </c:pt>
                <c:pt idx="4">
                  <c:v>1000</c:v>
                </c:pt>
                <c:pt idx="5">
                  <c:v>0</c:v>
                </c:pt>
              </c:numCache>
            </c:numRef>
          </c:val>
          <c:extLst>
            <c:ext xmlns:c16="http://schemas.microsoft.com/office/drawing/2014/chart" uri="{C3380CC4-5D6E-409C-BE32-E72D297353CC}">
              <c16:uniqueId val="{0000000C-2493-0245-A30E-FFB03F6B9766}"/>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BE81-C241-8147-2095A39F478A}"/>
              </c:ext>
            </c:extLst>
          </c:dPt>
          <c:dPt>
            <c:idx val="1"/>
            <c:bubble3D val="0"/>
            <c:spPr>
              <a:solidFill>
                <a:schemeClr val="accent2"/>
              </a:solidFill>
            </c:spPr>
            <c:extLst>
              <c:ext xmlns:c16="http://schemas.microsoft.com/office/drawing/2014/chart" uri="{C3380CC4-5D6E-409C-BE32-E72D297353CC}">
                <c16:uniqueId val="{00000003-BE81-C241-8147-2095A39F478A}"/>
              </c:ext>
            </c:extLst>
          </c:dPt>
          <c:dPt>
            <c:idx val="2"/>
            <c:bubble3D val="0"/>
            <c:spPr>
              <a:solidFill>
                <a:schemeClr val="accent3"/>
              </a:solidFill>
            </c:spPr>
            <c:extLst>
              <c:ext xmlns:c16="http://schemas.microsoft.com/office/drawing/2014/chart" uri="{C3380CC4-5D6E-409C-BE32-E72D297353CC}">
                <c16:uniqueId val="{00000005-BE81-C241-8147-2095A39F478A}"/>
              </c:ext>
            </c:extLst>
          </c:dPt>
          <c:dPt>
            <c:idx val="3"/>
            <c:bubble3D val="0"/>
            <c:spPr>
              <a:solidFill>
                <a:schemeClr val="accent4"/>
              </a:solidFill>
            </c:spPr>
            <c:extLst>
              <c:ext xmlns:c16="http://schemas.microsoft.com/office/drawing/2014/chart" uri="{C3380CC4-5D6E-409C-BE32-E72D297353CC}">
                <c16:uniqueId val="{00000007-BE81-C241-8147-2095A39F478A}"/>
              </c:ext>
            </c:extLst>
          </c:dPt>
          <c:dPt>
            <c:idx val="4"/>
            <c:bubble3D val="0"/>
            <c:spPr>
              <a:solidFill>
                <a:schemeClr val="accent5"/>
              </a:solidFill>
            </c:spPr>
            <c:extLst>
              <c:ext xmlns:c16="http://schemas.microsoft.com/office/drawing/2014/chart" uri="{C3380CC4-5D6E-409C-BE32-E72D297353CC}">
                <c16:uniqueId val="{00000009-BE81-C241-8147-2095A39F478A}"/>
              </c:ext>
            </c:extLst>
          </c:dPt>
          <c:dPt>
            <c:idx val="5"/>
            <c:bubble3D val="0"/>
            <c:spPr>
              <a:solidFill>
                <a:schemeClr val="accent6"/>
              </a:solidFill>
            </c:spPr>
            <c:extLst>
              <c:ext xmlns:c16="http://schemas.microsoft.com/office/drawing/2014/chart" uri="{C3380CC4-5D6E-409C-BE32-E72D297353CC}">
                <c16:uniqueId val="{0000000B-BE81-C241-8147-2095A39F478A}"/>
              </c:ext>
            </c:extLst>
          </c:dPt>
          <c:dPt>
            <c:idx val="6"/>
            <c:bubble3D val="0"/>
            <c:spPr>
              <a:solidFill>
                <a:schemeClr val="accent1"/>
              </a:solidFill>
            </c:spPr>
            <c:extLst>
              <c:ext xmlns:c16="http://schemas.microsoft.com/office/drawing/2014/chart" uri="{C3380CC4-5D6E-409C-BE32-E72D297353CC}">
                <c16:uniqueId val="{0000000D-BE81-C241-8147-2095A39F478A}"/>
              </c:ext>
            </c:extLst>
          </c:dPt>
          <c:dPt>
            <c:idx val="7"/>
            <c:bubble3D val="0"/>
            <c:spPr>
              <a:solidFill>
                <a:schemeClr val="accent2"/>
              </a:solidFill>
            </c:spPr>
            <c:extLst>
              <c:ext xmlns:c16="http://schemas.microsoft.com/office/drawing/2014/chart" uri="{C3380CC4-5D6E-409C-BE32-E72D297353CC}">
                <c16:uniqueId val="{0000000F-BE81-C241-8147-2095A39F478A}"/>
              </c:ext>
            </c:extLst>
          </c:dPt>
          <c:dPt>
            <c:idx val="8"/>
            <c:bubble3D val="0"/>
            <c:spPr>
              <a:solidFill>
                <a:schemeClr val="accent3"/>
              </a:solidFill>
            </c:spPr>
            <c:extLst>
              <c:ext xmlns:c16="http://schemas.microsoft.com/office/drawing/2014/chart" uri="{C3380CC4-5D6E-409C-BE32-E72D297353CC}">
                <c16:uniqueId val="{00000011-BE81-C241-8147-2095A39F478A}"/>
              </c:ext>
            </c:extLst>
          </c:dPt>
          <c:dPt>
            <c:idx val="9"/>
            <c:bubble3D val="0"/>
            <c:spPr>
              <a:solidFill>
                <a:schemeClr val="accent4"/>
              </a:solidFill>
            </c:spPr>
            <c:extLst>
              <c:ext xmlns:c16="http://schemas.microsoft.com/office/drawing/2014/chart" uri="{C3380CC4-5D6E-409C-BE32-E72D297353CC}">
                <c16:uniqueId val="{00000013-BE81-C241-8147-2095A39F478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'5- VEHICULES DE JEU'!$H$48:$H$57</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Bus</c:v>
                </c:pt>
                <c:pt idx="9">
                  <c:v>Taxi</c:v>
                </c:pt>
              </c:strCache>
            </c:strRef>
          </c:cat>
          <c:val>
            <c:numRef>
              <c:f>'5- VEHICULES DE JEU'!$J$48:$J$57</c:f>
              <c:numCache>
                <c:formatCode>General</c:formatCode>
                <c:ptCount val="10"/>
                <c:pt idx="0">
                  <c:v>0</c:v>
                </c:pt>
                <c:pt idx="1">
                  <c:v>0</c:v>
                </c:pt>
                <c:pt idx="2">
                  <c:v>0</c:v>
                </c:pt>
                <c:pt idx="3">
                  <c:v>0</c:v>
                </c:pt>
                <c:pt idx="4">
                  <c:v>0</c:v>
                </c:pt>
                <c:pt idx="5">
                  <c:v>0</c:v>
                </c:pt>
                <c:pt idx="6">
                  <c:v>0</c:v>
                </c:pt>
                <c:pt idx="7">
                  <c:v>0</c:v>
                </c:pt>
                <c:pt idx="8">
                  <c:v>0</c:v>
                </c:pt>
                <c:pt idx="9">
                  <c:v>50</c:v>
                </c:pt>
              </c:numCache>
            </c:numRef>
          </c:val>
          <c:extLst>
            <c:ext xmlns:c16="http://schemas.microsoft.com/office/drawing/2014/chart" uri="{C3380CC4-5D6E-409C-BE32-E72D297353CC}">
              <c16:uniqueId val="{00000014-BE81-C241-8147-2095A39F478A}"/>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6"/>
              </a:solidFill>
            </c:spPr>
            <c:extLst>
              <c:ext xmlns:c16="http://schemas.microsoft.com/office/drawing/2014/chart" uri="{C3380CC4-5D6E-409C-BE32-E72D297353CC}">
                <c16:uniqueId val="{00000001-AFA9-5C40-A480-F78CE11D6296}"/>
              </c:ext>
            </c:extLst>
          </c:dPt>
          <c:dPt>
            <c:idx val="1"/>
            <c:bubble3D val="0"/>
            <c:spPr>
              <a:solidFill>
                <a:schemeClr val="accent6"/>
              </a:solidFill>
            </c:spPr>
            <c:extLst>
              <c:ext xmlns:c16="http://schemas.microsoft.com/office/drawing/2014/chart" uri="{C3380CC4-5D6E-409C-BE32-E72D297353CC}">
                <c16:uniqueId val="{00000003-AFA9-5C40-A480-F78CE11D6296}"/>
              </c:ext>
            </c:extLst>
          </c:dPt>
          <c:dPt>
            <c:idx val="2"/>
            <c:bubble3D val="0"/>
            <c:spPr>
              <a:solidFill>
                <a:schemeClr val="accent6"/>
              </a:solidFill>
            </c:spPr>
            <c:extLst>
              <c:ext xmlns:c16="http://schemas.microsoft.com/office/drawing/2014/chart" uri="{C3380CC4-5D6E-409C-BE32-E72D297353CC}">
                <c16:uniqueId val="{00000005-AFA9-5C40-A480-F78CE11D6296}"/>
              </c:ext>
            </c:extLst>
          </c:dPt>
          <c:dPt>
            <c:idx val="3"/>
            <c:bubble3D val="0"/>
            <c:spPr>
              <a:solidFill>
                <a:schemeClr val="accent6"/>
              </a:solidFill>
            </c:spPr>
            <c:extLst>
              <c:ext xmlns:c16="http://schemas.microsoft.com/office/drawing/2014/chart" uri="{C3380CC4-5D6E-409C-BE32-E72D297353CC}">
                <c16:uniqueId val="{00000007-AFA9-5C40-A480-F78CE11D6296}"/>
              </c:ext>
            </c:extLst>
          </c:dPt>
          <c:dPt>
            <c:idx val="4"/>
            <c:bubble3D val="0"/>
            <c:spPr>
              <a:solidFill>
                <a:schemeClr val="accent6"/>
              </a:solidFill>
            </c:spPr>
            <c:extLst>
              <c:ext xmlns:c16="http://schemas.microsoft.com/office/drawing/2014/chart" uri="{C3380CC4-5D6E-409C-BE32-E72D297353CC}">
                <c16:uniqueId val="{00000009-AFA9-5C40-A480-F78CE11D629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'6- HÉBERGEMENT'!$E$56:$E$60</c:f>
              <c:strCache>
                <c:ptCount val="5"/>
                <c:pt idx="0">
                  <c:v>Moyen</c:v>
                </c:pt>
                <c:pt idx="1">
                  <c:v>2*</c:v>
                </c:pt>
                <c:pt idx="2">
                  <c:v>3*</c:v>
                </c:pt>
                <c:pt idx="3">
                  <c:v>4*</c:v>
                </c:pt>
                <c:pt idx="4">
                  <c:v>5*</c:v>
                </c:pt>
              </c:strCache>
            </c:strRef>
          </c:cat>
          <c:val>
            <c:numRef>
              <c:f>'6- HÉBERGEMENT'!$F$56:$F$60</c:f>
              <c:numCache>
                <c:formatCode>General</c:formatCode>
                <c:ptCount val="5"/>
                <c:pt idx="0">
                  <c:v>0</c:v>
                </c:pt>
                <c:pt idx="1">
                  <c:v>0</c:v>
                </c:pt>
                <c:pt idx="2">
                  <c:v>20</c:v>
                </c:pt>
                <c:pt idx="3">
                  <c:v>0</c:v>
                </c:pt>
                <c:pt idx="4">
                  <c:v>0</c:v>
                </c:pt>
              </c:numCache>
            </c:numRef>
          </c:val>
          <c:extLst>
            <c:ext xmlns:c16="http://schemas.microsoft.com/office/drawing/2014/chart" uri="{C3380CC4-5D6E-409C-BE32-E72D297353CC}">
              <c16:uniqueId val="{0000000A-AFA9-5C40-A480-F78CE11D6296}"/>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6"/>
              </a:solidFill>
            </c:spPr>
            <c:extLst>
              <c:ext xmlns:c16="http://schemas.microsoft.com/office/drawing/2014/chart" uri="{C3380CC4-5D6E-409C-BE32-E72D297353CC}">
                <c16:uniqueId val="{00000001-5F25-F14F-B3B9-A6A61EE2E8AF}"/>
              </c:ext>
            </c:extLst>
          </c:dPt>
          <c:dPt>
            <c:idx val="1"/>
            <c:bubble3D val="0"/>
            <c:spPr>
              <a:solidFill>
                <a:schemeClr val="accent6"/>
              </a:solidFill>
            </c:spPr>
            <c:extLst>
              <c:ext xmlns:c16="http://schemas.microsoft.com/office/drawing/2014/chart" uri="{C3380CC4-5D6E-409C-BE32-E72D297353CC}">
                <c16:uniqueId val="{00000003-5F25-F14F-B3B9-A6A61EE2E8AF}"/>
              </c:ext>
            </c:extLst>
          </c:dPt>
          <c:dPt>
            <c:idx val="2"/>
            <c:bubble3D val="0"/>
            <c:spPr>
              <a:solidFill>
                <a:schemeClr val="accent6"/>
              </a:solidFill>
            </c:spPr>
            <c:extLst>
              <c:ext xmlns:c16="http://schemas.microsoft.com/office/drawing/2014/chart" uri="{C3380CC4-5D6E-409C-BE32-E72D297353CC}">
                <c16:uniqueId val="{00000005-5F25-F14F-B3B9-A6A61EE2E8AF}"/>
              </c:ext>
            </c:extLst>
          </c:dPt>
          <c:dPt>
            <c:idx val="3"/>
            <c:bubble3D val="0"/>
            <c:spPr>
              <a:solidFill>
                <a:schemeClr val="accent6"/>
              </a:solidFill>
            </c:spPr>
            <c:extLst>
              <c:ext xmlns:c16="http://schemas.microsoft.com/office/drawing/2014/chart" uri="{C3380CC4-5D6E-409C-BE32-E72D297353CC}">
                <c16:uniqueId val="{00000007-5F25-F14F-B3B9-A6A61EE2E8AF}"/>
              </c:ext>
            </c:extLst>
          </c:dPt>
          <c:dPt>
            <c:idx val="4"/>
            <c:bubble3D val="0"/>
            <c:spPr>
              <a:solidFill>
                <a:schemeClr val="accent6"/>
              </a:solidFill>
            </c:spPr>
            <c:extLst>
              <c:ext xmlns:c16="http://schemas.microsoft.com/office/drawing/2014/chart" uri="{C3380CC4-5D6E-409C-BE32-E72D297353CC}">
                <c16:uniqueId val="{00000009-5F25-F14F-B3B9-A6A61EE2E8A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'6- HÉBERGEMENT'!$E$56:$E$60</c:f>
              <c:strCache>
                <c:ptCount val="5"/>
                <c:pt idx="0">
                  <c:v>Moyen</c:v>
                </c:pt>
                <c:pt idx="1">
                  <c:v>2*</c:v>
                </c:pt>
                <c:pt idx="2">
                  <c:v>3*</c:v>
                </c:pt>
                <c:pt idx="3">
                  <c:v>4*</c:v>
                </c:pt>
                <c:pt idx="4">
                  <c:v>5*</c:v>
                </c:pt>
              </c:strCache>
            </c:strRef>
          </c:cat>
          <c:val>
            <c:numRef>
              <c:f>'6- HÉBERGEMENT'!$H$56:$H$60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F25-F14F-B3B9-A6A61EE2E8AF}"/>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6"/>
              </a:solidFill>
            </c:spPr>
            <c:extLst>
              <c:ext xmlns:c16="http://schemas.microsoft.com/office/drawing/2014/chart" uri="{C3380CC4-5D6E-409C-BE32-E72D297353CC}">
                <c16:uniqueId val="{00000001-C8ED-4345-A6FE-A8E539E53637}"/>
              </c:ext>
            </c:extLst>
          </c:dPt>
          <c:dPt>
            <c:idx val="1"/>
            <c:bubble3D val="0"/>
            <c:spPr>
              <a:solidFill>
                <a:schemeClr val="accent6"/>
              </a:solidFill>
            </c:spPr>
            <c:extLst>
              <c:ext xmlns:c16="http://schemas.microsoft.com/office/drawing/2014/chart" uri="{C3380CC4-5D6E-409C-BE32-E72D297353CC}">
                <c16:uniqueId val="{00000003-C8ED-4345-A6FE-A8E539E53637}"/>
              </c:ext>
            </c:extLst>
          </c:dPt>
          <c:dPt>
            <c:idx val="2"/>
            <c:bubble3D val="0"/>
            <c:spPr>
              <a:solidFill>
                <a:schemeClr val="accent6"/>
              </a:solidFill>
            </c:spPr>
            <c:extLst>
              <c:ext xmlns:c16="http://schemas.microsoft.com/office/drawing/2014/chart" uri="{C3380CC4-5D6E-409C-BE32-E72D297353CC}">
                <c16:uniqueId val="{00000005-C8ED-4345-A6FE-A8E539E53637}"/>
              </c:ext>
            </c:extLst>
          </c:dPt>
          <c:dPt>
            <c:idx val="3"/>
            <c:bubble3D val="0"/>
            <c:spPr>
              <a:solidFill>
                <a:schemeClr val="accent6"/>
              </a:solidFill>
            </c:spPr>
            <c:extLst>
              <c:ext xmlns:c16="http://schemas.microsoft.com/office/drawing/2014/chart" uri="{C3380CC4-5D6E-409C-BE32-E72D297353CC}">
                <c16:uniqueId val="{00000007-C8ED-4345-A6FE-A8E539E53637}"/>
              </c:ext>
            </c:extLst>
          </c:dPt>
          <c:dPt>
            <c:idx val="4"/>
            <c:bubble3D val="0"/>
            <c:spPr>
              <a:solidFill>
                <a:schemeClr val="accent6"/>
              </a:solidFill>
            </c:spPr>
            <c:extLst>
              <c:ext xmlns:c16="http://schemas.microsoft.com/office/drawing/2014/chart" uri="{C3380CC4-5D6E-409C-BE32-E72D297353CC}">
                <c16:uniqueId val="{00000009-C8ED-4345-A6FE-A8E539E5363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'6- HÉBERGEMENT'!$E$56:$E$60</c:f>
              <c:strCache>
                <c:ptCount val="5"/>
                <c:pt idx="0">
                  <c:v>Moyen</c:v>
                </c:pt>
                <c:pt idx="1">
                  <c:v>2*</c:v>
                </c:pt>
                <c:pt idx="2">
                  <c:v>3*</c:v>
                </c:pt>
                <c:pt idx="3">
                  <c:v>4*</c:v>
                </c:pt>
                <c:pt idx="4">
                  <c:v>5*</c:v>
                </c:pt>
              </c:strCache>
            </c:strRef>
          </c:cat>
          <c:val>
            <c:numRef>
              <c:f>'6- HÉBERGEMENT'!$G$56:$G$60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8ED-4345-A6FE-A8E539E53637}"/>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6522-F24D-8B9B-D57514E1F4DB}"/>
              </c:ext>
            </c:extLst>
          </c:dPt>
          <c:dPt>
            <c:idx val="1"/>
            <c:bubble3D val="0"/>
            <c:spPr>
              <a:solidFill>
                <a:schemeClr val="accent2"/>
              </a:solidFill>
            </c:spPr>
            <c:extLst>
              <c:ext xmlns:c16="http://schemas.microsoft.com/office/drawing/2014/chart" uri="{C3380CC4-5D6E-409C-BE32-E72D297353CC}">
                <c16:uniqueId val="{00000003-6522-F24D-8B9B-D57514E1F4DB}"/>
              </c:ext>
            </c:extLst>
          </c:dPt>
          <c:dPt>
            <c:idx val="2"/>
            <c:bubble3D val="0"/>
            <c:spPr>
              <a:solidFill>
                <a:schemeClr val="accent3"/>
              </a:solidFill>
            </c:spPr>
            <c:extLst>
              <c:ext xmlns:c16="http://schemas.microsoft.com/office/drawing/2014/chart" uri="{C3380CC4-5D6E-409C-BE32-E72D297353CC}">
                <c16:uniqueId val="{00000005-6522-F24D-8B9B-D57514E1F4DB}"/>
              </c:ext>
            </c:extLst>
          </c:dPt>
          <c:dPt>
            <c:idx val="3"/>
            <c:bubble3D val="0"/>
            <c:spPr>
              <a:solidFill>
                <a:schemeClr val="accent4"/>
              </a:solidFill>
            </c:spPr>
            <c:extLst>
              <c:ext xmlns:c16="http://schemas.microsoft.com/office/drawing/2014/chart" uri="{C3380CC4-5D6E-409C-BE32-E72D297353CC}">
                <c16:uniqueId val="{00000007-6522-F24D-8B9B-D57514E1F4DB}"/>
              </c:ext>
            </c:extLst>
          </c:dPt>
          <c:dPt>
            <c:idx val="4"/>
            <c:bubble3D val="0"/>
            <c:spPr>
              <a:solidFill>
                <a:schemeClr val="accent5"/>
              </a:solidFill>
            </c:spPr>
            <c:extLst>
              <c:ext xmlns:c16="http://schemas.microsoft.com/office/drawing/2014/chart" uri="{C3380CC4-5D6E-409C-BE32-E72D297353CC}">
                <c16:uniqueId val="{00000009-6522-F24D-8B9B-D57514E1F4DB}"/>
              </c:ext>
            </c:extLst>
          </c:dPt>
          <c:dPt>
            <c:idx val="5"/>
            <c:bubble3D val="0"/>
            <c:spPr>
              <a:solidFill>
                <a:schemeClr val="accent6"/>
              </a:solidFill>
            </c:spPr>
            <c:extLst>
              <c:ext xmlns:c16="http://schemas.microsoft.com/office/drawing/2014/chart" uri="{C3380CC4-5D6E-409C-BE32-E72D297353CC}">
                <c16:uniqueId val="{0000000B-6522-F24D-8B9B-D57514E1F4DB}"/>
              </c:ext>
            </c:extLst>
          </c:dPt>
          <c:dPt>
            <c:idx val="6"/>
            <c:bubble3D val="0"/>
            <c:spPr>
              <a:solidFill>
                <a:schemeClr val="accent1"/>
              </a:solidFill>
            </c:spPr>
            <c:extLst>
              <c:ext xmlns:c16="http://schemas.microsoft.com/office/drawing/2014/chart" uri="{C3380CC4-5D6E-409C-BE32-E72D297353CC}">
                <c16:uniqueId val="{0000000D-6522-F24D-8B9B-D57514E1F4DB}"/>
              </c:ext>
            </c:extLst>
          </c:dPt>
          <c:dPt>
            <c:idx val="7"/>
            <c:bubble3D val="0"/>
            <c:spPr>
              <a:solidFill>
                <a:schemeClr val="accent2"/>
              </a:solidFill>
            </c:spPr>
            <c:extLst>
              <c:ext xmlns:c16="http://schemas.microsoft.com/office/drawing/2014/chart" uri="{C3380CC4-5D6E-409C-BE32-E72D297353CC}">
                <c16:uniqueId val="{0000000F-6522-F24D-8B9B-D57514E1F4DB}"/>
              </c:ext>
            </c:extLst>
          </c:dPt>
          <c:dPt>
            <c:idx val="8"/>
            <c:bubble3D val="0"/>
            <c:spPr>
              <a:solidFill>
                <a:schemeClr val="accent3"/>
              </a:solidFill>
            </c:spPr>
            <c:extLst>
              <c:ext xmlns:c16="http://schemas.microsoft.com/office/drawing/2014/chart" uri="{C3380CC4-5D6E-409C-BE32-E72D297353CC}">
                <c16:uniqueId val="{00000011-6522-F24D-8B9B-D57514E1F4DB}"/>
              </c:ext>
            </c:extLst>
          </c:dPt>
          <c:dPt>
            <c:idx val="9"/>
            <c:bubble3D val="0"/>
            <c:spPr>
              <a:solidFill>
                <a:schemeClr val="accent4"/>
              </a:solidFill>
            </c:spPr>
            <c:extLst>
              <c:ext xmlns:c16="http://schemas.microsoft.com/office/drawing/2014/chart" uri="{C3380CC4-5D6E-409C-BE32-E72D297353CC}">
                <c16:uniqueId val="{00000013-6522-F24D-8B9B-D57514E1F4DB}"/>
              </c:ext>
            </c:extLst>
          </c:dPt>
          <c:dPt>
            <c:idx val="10"/>
            <c:bubble3D val="0"/>
            <c:spPr>
              <a:solidFill>
                <a:schemeClr val="accent5"/>
              </a:solidFill>
            </c:spPr>
            <c:extLst>
              <c:ext xmlns:c16="http://schemas.microsoft.com/office/drawing/2014/chart" uri="{C3380CC4-5D6E-409C-BE32-E72D297353CC}">
                <c16:uniqueId val="{00000015-6522-F24D-8B9B-D57514E1F4DB}"/>
              </c:ext>
            </c:extLst>
          </c:dPt>
          <c:dPt>
            <c:idx val="11"/>
            <c:bubble3D val="0"/>
            <c:spPr>
              <a:solidFill>
                <a:schemeClr val="accent6"/>
              </a:solidFill>
            </c:spPr>
            <c:extLst>
              <c:ext xmlns:c16="http://schemas.microsoft.com/office/drawing/2014/chart" uri="{C3380CC4-5D6E-409C-BE32-E72D297353CC}">
                <c16:uniqueId val="{00000017-6522-F24D-8B9B-D57514E1F4DB}"/>
              </c:ext>
            </c:extLst>
          </c:dPt>
          <c:dPt>
            <c:idx val="12"/>
            <c:bubble3D val="0"/>
            <c:spPr>
              <a:solidFill>
                <a:schemeClr val="accent1"/>
              </a:solidFill>
            </c:spPr>
            <c:extLst>
              <c:ext xmlns:c16="http://schemas.microsoft.com/office/drawing/2014/chart" uri="{C3380CC4-5D6E-409C-BE32-E72D297353CC}">
                <c16:uniqueId val="{00000019-6522-F24D-8B9B-D57514E1F4D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'7- DÉPLACEMENTS PERSONNES'!$D$168:$D$180</c:f>
              <c:strCache>
                <c:ptCount val="13"/>
                <c:pt idx="0">
                  <c:v>Taxi</c:v>
                </c:pt>
                <c:pt idx="1">
                  <c:v>Bus</c:v>
                </c:pt>
                <c:pt idx="2">
                  <c:v>Avion</c:v>
                </c:pt>
                <c:pt idx="3">
                  <c:v>Jet Privé</c:v>
                </c:pt>
                <c:pt idx="4">
                  <c:v>Hélicoptère</c:v>
                </c:pt>
                <c:pt idx="5">
                  <c:v>Train</c:v>
                </c:pt>
                <c:pt idx="6">
                  <c:v>TER</c:v>
                </c:pt>
                <c:pt idx="7">
                  <c:v>Voilier</c:v>
                </c:pt>
                <c:pt idx="8">
                  <c:v>Zodiac</c:v>
                </c:pt>
                <c:pt idx="9">
                  <c:v>Yacht</c:v>
                </c:pt>
                <c:pt idx="10">
                  <c:v>Ferry</c:v>
                </c:pt>
                <c:pt idx="11">
                  <c:v>Déplacement de groupes - En ville ou agglomérations</c:v>
                </c:pt>
                <c:pt idx="12">
                  <c:v>Déplacement de groupes - Hors agglo</c:v>
                </c:pt>
              </c:strCache>
            </c:strRef>
          </c:cat>
          <c:val>
            <c:numRef>
              <c:f>'7- DÉPLACEMENTS PERSONNES'!$E$168:$E$180</c:f>
              <c:numCache>
                <c:formatCode>#,##0</c:formatCode>
                <c:ptCount val="13"/>
                <c:pt idx="0">
                  <c:v>0</c:v>
                </c:pt>
                <c:pt idx="1">
                  <c:v>0</c:v>
                </c:pt>
                <c:pt idx="2">
                  <c:v>1864</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6522-F24D-8B9B-D57514E1F4D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6829027082274617"/>
          <c:y val="1.7373148271801656E-2"/>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4508-BF4C-B729-B574D6672566}"/>
              </c:ext>
            </c:extLst>
          </c:dPt>
          <c:dPt>
            <c:idx val="1"/>
            <c:bubble3D val="0"/>
            <c:spPr>
              <a:solidFill>
                <a:schemeClr val="accent2"/>
              </a:solidFill>
            </c:spPr>
            <c:extLst>
              <c:ext xmlns:c16="http://schemas.microsoft.com/office/drawing/2014/chart" uri="{C3380CC4-5D6E-409C-BE32-E72D297353CC}">
                <c16:uniqueId val="{00000003-4508-BF4C-B729-B574D6672566}"/>
              </c:ext>
            </c:extLst>
          </c:dPt>
          <c:dPt>
            <c:idx val="2"/>
            <c:bubble3D val="0"/>
            <c:spPr>
              <a:solidFill>
                <a:schemeClr val="accent3"/>
              </a:solidFill>
            </c:spPr>
            <c:extLst>
              <c:ext xmlns:c16="http://schemas.microsoft.com/office/drawing/2014/chart" uri="{C3380CC4-5D6E-409C-BE32-E72D297353CC}">
                <c16:uniqueId val="{00000005-4508-BF4C-B729-B574D6672566}"/>
              </c:ext>
            </c:extLst>
          </c:dPt>
          <c:dPt>
            <c:idx val="3"/>
            <c:bubble3D val="0"/>
            <c:spPr>
              <a:solidFill>
                <a:schemeClr val="accent4"/>
              </a:solidFill>
            </c:spPr>
            <c:extLst>
              <c:ext xmlns:c16="http://schemas.microsoft.com/office/drawing/2014/chart" uri="{C3380CC4-5D6E-409C-BE32-E72D297353CC}">
                <c16:uniqueId val="{00000007-4508-BF4C-B729-B574D6672566}"/>
              </c:ext>
            </c:extLst>
          </c:dPt>
          <c:dPt>
            <c:idx val="4"/>
            <c:bubble3D val="0"/>
            <c:spPr>
              <a:solidFill>
                <a:schemeClr val="accent5"/>
              </a:solidFill>
            </c:spPr>
            <c:extLst>
              <c:ext xmlns:c16="http://schemas.microsoft.com/office/drawing/2014/chart" uri="{C3380CC4-5D6E-409C-BE32-E72D297353CC}">
                <c16:uniqueId val="{00000009-4508-BF4C-B729-B574D6672566}"/>
              </c:ext>
            </c:extLst>
          </c:dPt>
          <c:dPt>
            <c:idx val="5"/>
            <c:bubble3D val="0"/>
            <c:spPr>
              <a:solidFill>
                <a:schemeClr val="accent6"/>
              </a:solidFill>
            </c:spPr>
            <c:extLst>
              <c:ext xmlns:c16="http://schemas.microsoft.com/office/drawing/2014/chart" uri="{C3380CC4-5D6E-409C-BE32-E72D297353CC}">
                <c16:uniqueId val="{0000000B-4508-BF4C-B729-B574D6672566}"/>
              </c:ext>
            </c:extLst>
          </c:dPt>
          <c:dPt>
            <c:idx val="6"/>
            <c:bubble3D val="0"/>
            <c:spPr>
              <a:solidFill>
                <a:schemeClr val="accent1"/>
              </a:solidFill>
            </c:spPr>
            <c:extLst>
              <c:ext xmlns:c16="http://schemas.microsoft.com/office/drawing/2014/chart" uri="{C3380CC4-5D6E-409C-BE32-E72D297353CC}">
                <c16:uniqueId val="{0000000D-4508-BF4C-B729-B574D6672566}"/>
              </c:ext>
            </c:extLst>
          </c:dPt>
          <c:dPt>
            <c:idx val="7"/>
            <c:bubble3D val="0"/>
            <c:spPr>
              <a:solidFill>
                <a:schemeClr val="accent2"/>
              </a:solidFill>
            </c:spPr>
            <c:extLst>
              <c:ext xmlns:c16="http://schemas.microsoft.com/office/drawing/2014/chart" uri="{C3380CC4-5D6E-409C-BE32-E72D297353CC}">
                <c16:uniqueId val="{0000000F-4508-BF4C-B729-B574D6672566}"/>
              </c:ext>
            </c:extLst>
          </c:dPt>
          <c:dPt>
            <c:idx val="8"/>
            <c:bubble3D val="0"/>
            <c:spPr>
              <a:solidFill>
                <a:schemeClr val="accent3"/>
              </a:solidFill>
            </c:spPr>
            <c:extLst>
              <c:ext xmlns:c16="http://schemas.microsoft.com/office/drawing/2014/chart" uri="{C3380CC4-5D6E-409C-BE32-E72D297353CC}">
                <c16:uniqueId val="{00000011-4508-BF4C-B729-B574D6672566}"/>
              </c:ext>
            </c:extLst>
          </c:dPt>
          <c:dPt>
            <c:idx val="9"/>
            <c:bubble3D val="0"/>
            <c:spPr>
              <a:solidFill>
                <a:schemeClr val="accent4"/>
              </a:solidFill>
            </c:spPr>
            <c:extLst>
              <c:ext xmlns:c16="http://schemas.microsoft.com/office/drawing/2014/chart" uri="{C3380CC4-5D6E-409C-BE32-E72D297353CC}">
                <c16:uniqueId val="{00000013-4508-BF4C-B729-B574D6672566}"/>
              </c:ext>
            </c:extLst>
          </c:dPt>
          <c:dPt>
            <c:idx val="10"/>
            <c:bubble3D val="0"/>
            <c:spPr>
              <a:solidFill>
                <a:schemeClr val="accent5"/>
              </a:solidFill>
            </c:spPr>
            <c:extLst>
              <c:ext xmlns:c16="http://schemas.microsoft.com/office/drawing/2014/chart" uri="{C3380CC4-5D6E-409C-BE32-E72D297353CC}">
                <c16:uniqueId val="{00000015-4508-BF4C-B729-B574D6672566}"/>
              </c:ext>
            </c:extLst>
          </c:dPt>
          <c:dPt>
            <c:idx val="11"/>
            <c:bubble3D val="0"/>
            <c:spPr>
              <a:solidFill>
                <a:schemeClr val="accent6"/>
              </a:solidFill>
            </c:spPr>
            <c:extLst>
              <c:ext xmlns:c16="http://schemas.microsoft.com/office/drawing/2014/chart" uri="{C3380CC4-5D6E-409C-BE32-E72D297353CC}">
                <c16:uniqueId val="{00000017-4508-BF4C-B729-B574D6672566}"/>
              </c:ext>
            </c:extLst>
          </c:dPt>
          <c:dPt>
            <c:idx val="12"/>
            <c:bubble3D val="0"/>
            <c:spPr>
              <a:solidFill>
                <a:schemeClr val="accent1"/>
              </a:solidFill>
            </c:spPr>
            <c:extLst>
              <c:ext xmlns:c16="http://schemas.microsoft.com/office/drawing/2014/chart" uri="{C3380CC4-5D6E-409C-BE32-E72D297353CC}">
                <c16:uniqueId val="{00000019-4508-BF4C-B729-B574D667256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'7- DÉPLACEMENTS PERSONNES'!$D$168:$D$180</c:f>
              <c:strCache>
                <c:ptCount val="13"/>
                <c:pt idx="0">
                  <c:v>Taxi</c:v>
                </c:pt>
                <c:pt idx="1">
                  <c:v>Bus</c:v>
                </c:pt>
                <c:pt idx="2">
                  <c:v>Avion</c:v>
                </c:pt>
                <c:pt idx="3">
                  <c:v>Jet Privé</c:v>
                </c:pt>
                <c:pt idx="4">
                  <c:v>Hélicoptère</c:v>
                </c:pt>
                <c:pt idx="5">
                  <c:v>Train</c:v>
                </c:pt>
                <c:pt idx="6">
                  <c:v>TER</c:v>
                </c:pt>
                <c:pt idx="7">
                  <c:v>Voilier</c:v>
                </c:pt>
                <c:pt idx="8">
                  <c:v>Zodiac</c:v>
                </c:pt>
                <c:pt idx="9">
                  <c:v>Yacht</c:v>
                </c:pt>
                <c:pt idx="10">
                  <c:v>Ferry</c:v>
                </c:pt>
                <c:pt idx="11">
                  <c:v>Déplacement de groupes - En ville ou agglomérations</c:v>
                </c:pt>
                <c:pt idx="12">
                  <c:v>Déplacement de groupes - Hors agglo</c:v>
                </c:pt>
              </c:strCache>
            </c:strRef>
          </c:cat>
          <c:val>
            <c:numRef>
              <c:f>'7- DÉPLACEMENTS PERSONNES'!$F$168:$F$180</c:f>
              <c:numCache>
                <c:formatCode>#,##0</c:formatCode>
                <c:ptCount val="13"/>
                <c:pt idx="0">
                  <c:v>0</c:v>
                </c:pt>
                <c:pt idx="1">
                  <c:v>0</c:v>
                </c:pt>
                <c:pt idx="2">
                  <c:v>115603.68</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4508-BF4C-B729-B574D667256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4807166043690834"/>
          <c:y val="3.518313930912853E-2"/>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E379-4942-8712-8465E6A7C3D5}"/>
              </c:ext>
            </c:extLst>
          </c:dPt>
          <c:dPt>
            <c:idx val="1"/>
            <c:bubble3D val="0"/>
            <c:spPr>
              <a:solidFill>
                <a:schemeClr val="accent2"/>
              </a:solidFill>
            </c:spPr>
            <c:extLst>
              <c:ext xmlns:c16="http://schemas.microsoft.com/office/drawing/2014/chart" uri="{C3380CC4-5D6E-409C-BE32-E72D297353CC}">
                <c16:uniqueId val="{00000003-E379-4942-8712-8465E6A7C3D5}"/>
              </c:ext>
            </c:extLst>
          </c:dPt>
          <c:dPt>
            <c:idx val="2"/>
            <c:bubble3D val="0"/>
            <c:spPr>
              <a:solidFill>
                <a:schemeClr val="accent3"/>
              </a:solidFill>
            </c:spPr>
            <c:extLst>
              <c:ext xmlns:c16="http://schemas.microsoft.com/office/drawing/2014/chart" uri="{C3380CC4-5D6E-409C-BE32-E72D297353CC}">
                <c16:uniqueId val="{00000005-E379-4942-8712-8465E6A7C3D5}"/>
              </c:ext>
            </c:extLst>
          </c:dPt>
          <c:dPt>
            <c:idx val="3"/>
            <c:bubble3D val="0"/>
            <c:spPr>
              <a:solidFill>
                <a:schemeClr val="accent4"/>
              </a:solidFill>
            </c:spPr>
            <c:extLst>
              <c:ext xmlns:c16="http://schemas.microsoft.com/office/drawing/2014/chart" uri="{C3380CC4-5D6E-409C-BE32-E72D297353CC}">
                <c16:uniqueId val="{00000007-E379-4942-8712-8465E6A7C3D5}"/>
              </c:ext>
            </c:extLst>
          </c:dPt>
          <c:dPt>
            <c:idx val="4"/>
            <c:bubble3D val="0"/>
            <c:spPr>
              <a:solidFill>
                <a:schemeClr val="accent5"/>
              </a:solidFill>
            </c:spPr>
            <c:extLst>
              <c:ext xmlns:c16="http://schemas.microsoft.com/office/drawing/2014/chart" uri="{C3380CC4-5D6E-409C-BE32-E72D297353CC}">
                <c16:uniqueId val="{00000009-E379-4942-8712-8465E6A7C3D5}"/>
              </c:ext>
            </c:extLst>
          </c:dPt>
          <c:dPt>
            <c:idx val="5"/>
            <c:bubble3D val="0"/>
            <c:spPr>
              <a:solidFill>
                <a:schemeClr val="accent6"/>
              </a:solidFill>
            </c:spPr>
            <c:extLst>
              <c:ext xmlns:c16="http://schemas.microsoft.com/office/drawing/2014/chart" uri="{C3380CC4-5D6E-409C-BE32-E72D297353CC}">
                <c16:uniqueId val="{0000000B-E379-4942-8712-8465E6A7C3D5}"/>
              </c:ext>
            </c:extLst>
          </c:dPt>
          <c:dPt>
            <c:idx val="6"/>
            <c:bubble3D val="0"/>
            <c:spPr>
              <a:solidFill>
                <a:schemeClr val="accent1"/>
              </a:solidFill>
            </c:spPr>
            <c:extLst>
              <c:ext xmlns:c16="http://schemas.microsoft.com/office/drawing/2014/chart" uri="{C3380CC4-5D6E-409C-BE32-E72D297353CC}">
                <c16:uniqueId val="{0000000D-E379-4942-8712-8465E6A7C3D5}"/>
              </c:ext>
            </c:extLst>
          </c:dPt>
          <c:dPt>
            <c:idx val="7"/>
            <c:bubble3D val="0"/>
            <c:spPr>
              <a:solidFill>
                <a:schemeClr val="accent2"/>
              </a:solidFill>
            </c:spPr>
            <c:extLst>
              <c:ext xmlns:c16="http://schemas.microsoft.com/office/drawing/2014/chart" uri="{C3380CC4-5D6E-409C-BE32-E72D297353CC}">
                <c16:uniqueId val="{0000000F-E379-4942-8712-8465E6A7C3D5}"/>
              </c:ext>
            </c:extLst>
          </c:dPt>
          <c:dPt>
            <c:idx val="8"/>
            <c:bubble3D val="0"/>
            <c:spPr>
              <a:solidFill>
                <a:schemeClr val="accent3"/>
              </a:solidFill>
            </c:spPr>
            <c:extLst>
              <c:ext xmlns:c16="http://schemas.microsoft.com/office/drawing/2014/chart" uri="{C3380CC4-5D6E-409C-BE32-E72D297353CC}">
                <c16:uniqueId val="{00000011-E379-4942-8712-8465E6A7C3D5}"/>
              </c:ext>
            </c:extLst>
          </c:dPt>
          <c:dPt>
            <c:idx val="9"/>
            <c:bubble3D val="0"/>
            <c:spPr>
              <a:solidFill>
                <a:schemeClr val="accent4"/>
              </a:solidFill>
            </c:spPr>
            <c:extLst>
              <c:ext xmlns:c16="http://schemas.microsoft.com/office/drawing/2014/chart" uri="{C3380CC4-5D6E-409C-BE32-E72D297353CC}">
                <c16:uniqueId val="{00000013-E379-4942-8712-8465E6A7C3D5}"/>
              </c:ext>
            </c:extLst>
          </c:dPt>
          <c:dPt>
            <c:idx val="10"/>
            <c:bubble3D val="0"/>
            <c:spPr>
              <a:solidFill>
                <a:schemeClr val="accent5"/>
              </a:solidFill>
            </c:spPr>
            <c:extLst>
              <c:ext xmlns:c16="http://schemas.microsoft.com/office/drawing/2014/chart" uri="{C3380CC4-5D6E-409C-BE32-E72D297353CC}">
                <c16:uniqueId val="{00000015-E379-4942-8712-8465E6A7C3D5}"/>
              </c:ext>
            </c:extLst>
          </c:dPt>
          <c:dPt>
            <c:idx val="11"/>
            <c:bubble3D val="0"/>
            <c:spPr>
              <a:solidFill>
                <a:schemeClr val="accent6"/>
              </a:solidFill>
            </c:spPr>
            <c:extLst>
              <c:ext xmlns:c16="http://schemas.microsoft.com/office/drawing/2014/chart" uri="{C3380CC4-5D6E-409C-BE32-E72D297353CC}">
                <c16:uniqueId val="{00000017-E379-4942-8712-8465E6A7C3D5}"/>
              </c:ext>
            </c:extLst>
          </c:dPt>
          <c:dPt>
            <c:idx val="12"/>
            <c:bubble3D val="0"/>
            <c:spPr>
              <a:solidFill>
                <a:schemeClr val="accent1"/>
              </a:solidFill>
            </c:spPr>
            <c:extLst>
              <c:ext xmlns:c16="http://schemas.microsoft.com/office/drawing/2014/chart" uri="{C3380CC4-5D6E-409C-BE32-E72D297353CC}">
                <c16:uniqueId val="{00000019-E379-4942-8712-8465E6A7C3D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'7- DÉPLACEMENTS PERSONNES'!$D$168:$D$180</c:f>
              <c:strCache>
                <c:ptCount val="13"/>
                <c:pt idx="0">
                  <c:v>Taxi</c:v>
                </c:pt>
                <c:pt idx="1">
                  <c:v>Bus</c:v>
                </c:pt>
                <c:pt idx="2">
                  <c:v>Avion</c:v>
                </c:pt>
                <c:pt idx="3">
                  <c:v>Jet Privé</c:v>
                </c:pt>
                <c:pt idx="4">
                  <c:v>Hélicoptère</c:v>
                </c:pt>
                <c:pt idx="5">
                  <c:v>Train</c:v>
                </c:pt>
                <c:pt idx="6">
                  <c:v>TER</c:v>
                </c:pt>
                <c:pt idx="7">
                  <c:v>Voilier</c:v>
                </c:pt>
                <c:pt idx="8">
                  <c:v>Zodiac</c:v>
                </c:pt>
                <c:pt idx="9">
                  <c:v>Yacht</c:v>
                </c:pt>
                <c:pt idx="10">
                  <c:v>Ferry</c:v>
                </c:pt>
                <c:pt idx="11">
                  <c:v>Déplacement de groupes - En ville ou agglomérations</c:v>
                </c:pt>
                <c:pt idx="12">
                  <c:v>Déplacement de groupes - Hors agglo</c:v>
                </c:pt>
              </c:strCache>
            </c:strRef>
          </c:cat>
          <c:val>
            <c:numRef>
              <c:f>'7- DÉPLACEMENTS PERSONNES'!$G$168:$G$180</c:f>
              <c:numCache>
                <c:formatCode>#,##0</c:formatCode>
                <c:ptCount val="13"/>
                <c:pt idx="0">
                  <c:v>50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E379-4942-8712-8465E6A7C3D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4807166043690834"/>
          <c:y val="2.1480387641484137E-2"/>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B745-F542-8F9B-3BF8308D147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'7- DÉPLACEMENTS PERSONNES'!$M$168</c:f>
              <c:strCache>
                <c:ptCount val="1"/>
                <c:pt idx="0">
                  <c:v>Route</c:v>
                </c:pt>
              </c:strCache>
            </c:strRef>
          </c:cat>
          <c:val>
            <c:numRef>
              <c:f>'7- DÉPLACEMENTS PERSONNES'!$M$170</c:f>
              <c:numCache>
                <c:formatCode>General</c:formatCode>
                <c:ptCount val="1"/>
                <c:pt idx="0">
                  <c:v>0</c:v>
                </c:pt>
              </c:numCache>
            </c:numRef>
          </c:val>
          <c:extLst>
            <c:ext xmlns:c16="http://schemas.microsoft.com/office/drawing/2014/chart" uri="{C3380CC4-5D6E-409C-BE32-E72D297353CC}">
              <c16:uniqueId val="{00000002-B745-F542-8F9B-3BF8308D147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7400346239471363"/>
          <c:y val="0.21945845835300484"/>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8D50-4C4F-BC70-A50E0EA97C36}"/>
              </c:ext>
            </c:extLst>
          </c:dPt>
          <c:dPt>
            <c:idx val="1"/>
            <c:bubble3D val="0"/>
            <c:spPr>
              <a:solidFill>
                <a:schemeClr val="accent2"/>
              </a:solidFill>
            </c:spPr>
            <c:extLst>
              <c:ext xmlns:c16="http://schemas.microsoft.com/office/drawing/2014/chart" uri="{C3380CC4-5D6E-409C-BE32-E72D297353CC}">
                <c16:uniqueId val="{00000003-8D50-4C4F-BC70-A50E0EA97C36}"/>
              </c:ext>
            </c:extLst>
          </c:dPt>
          <c:dPt>
            <c:idx val="2"/>
            <c:bubble3D val="0"/>
            <c:spPr>
              <a:solidFill>
                <a:schemeClr val="accent3"/>
              </a:solidFill>
            </c:spPr>
            <c:extLst>
              <c:ext xmlns:c16="http://schemas.microsoft.com/office/drawing/2014/chart" uri="{C3380CC4-5D6E-409C-BE32-E72D297353CC}">
                <c16:uniqueId val="{00000005-8D50-4C4F-BC70-A50E0EA97C36}"/>
              </c:ext>
            </c:extLst>
          </c:dPt>
          <c:dPt>
            <c:idx val="3"/>
            <c:bubble3D val="0"/>
            <c:spPr>
              <a:solidFill>
                <a:schemeClr val="accent4"/>
              </a:solidFill>
            </c:spPr>
            <c:extLst>
              <c:ext xmlns:c16="http://schemas.microsoft.com/office/drawing/2014/chart" uri="{C3380CC4-5D6E-409C-BE32-E72D297353CC}">
                <c16:uniqueId val="{00000007-8D50-4C4F-BC70-A50E0EA97C36}"/>
              </c:ext>
            </c:extLst>
          </c:dPt>
          <c:dPt>
            <c:idx val="4"/>
            <c:bubble3D val="0"/>
            <c:spPr>
              <a:solidFill>
                <a:schemeClr val="accent5"/>
              </a:solidFill>
            </c:spPr>
            <c:extLst>
              <c:ext xmlns:c16="http://schemas.microsoft.com/office/drawing/2014/chart" uri="{C3380CC4-5D6E-409C-BE32-E72D297353CC}">
                <c16:uniqueId val="{00000009-8D50-4C4F-BC70-A50E0EA97C36}"/>
              </c:ext>
            </c:extLst>
          </c:dPt>
          <c:dPt>
            <c:idx val="5"/>
            <c:bubble3D val="0"/>
            <c:spPr>
              <a:solidFill>
                <a:schemeClr val="accent6"/>
              </a:solidFill>
            </c:spPr>
            <c:extLst>
              <c:ext xmlns:c16="http://schemas.microsoft.com/office/drawing/2014/chart" uri="{C3380CC4-5D6E-409C-BE32-E72D297353CC}">
                <c16:uniqueId val="{0000000B-8D50-4C4F-BC70-A50E0EA97C36}"/>
              </c:ext>
            </c:extLst>
          </c:dPt>
          <c:dPt>
            <c:idx val="6"/>
            <c:bubble3D val="0"/>
            <c:spPr>
              <a:solidFill>
                <a:schemeClr val="accent1"/>
              </a:solidFill>
            </c:spPr>
            <c:extLst>
              <c:ext xmlns:c16="http://schemas.microsoft.com/office/drawing/2014/chart" uri="{C3380CC4-5D6E-409C-BE32-E72D297353CC}">
                <c16:uniqueId val="{0000000D-8D50-4C4F-BC70-A50E0EA97C36}"/>
              </c:ext>
            </c:extLst>
          </c:dPt>
          <c:dPt>
            <c:idx val="7"/>
            <c:bubble3D val="0"/>
            <c:spPr>
              <a:solidFill>
                <a:schemeClr val="accent2"/>
              </a:solidFill>
            </c:spPr>
            <c:extLst>
              <c:ext xmlns:c16="http://schemas.microsoft.com/office/drawing/2014/chart" uri="{C3380CC4-5D6E-409C-BE32-E72D297353CC}">
                <c16:uniqueId val="{0000000F-8D50-4C4F-BC70-A50E0EA97C36}"/>
              </c:ext>
            </c:extLst>
          </c:dPt>
          <c:dPt>
            <c:idx val="8"/>
            <c:bubble3D val="0"/>
            <c:spPr>
              <a:solidFill>
                <a:schemeClr val="accent3"/>
              </a:solidFill>
            </c:spPr>
            <c:extLst>
              <c:ext xmlns:c16="http://schemas.microsoft.com/office/drawing/2014/chart" uri="{C3380CC4-5D6E-409C-BE32-E72D297353CC}">
                <c16:uniqueId val="{00000011-8D50-4C4F-BC70-A50E0EA97C36}"/>
              </c:ext>
            </c:extLst>
          </c:dPt>
          <c:dPt>
            <c:idx val="9"/>
            <c:bubble3D val="0"/>
            <c:spPr>
              <a:solidFill>
                <a:schemeClr val="accent4"/>
              </a:solidFill>
            </c:spPr>
            <c:extLst>
              <c:ext xmlns:c16="http://schemas.microsoft.com/office/drawing/2014/chart" uri="{C3380CC4-5D6E-409C-BE32-E72D297353CC}">
                <c16:uniqueId val="{00000013-8D50-4C4F-BC70-A50E0EA97C36}"/>
              </c:ext>
            </c:extLst>
          </c:dPt>
          <c:dPt>
            <c:idx val="10"/>
            <c:bubble3D val="0"/>
            <c:spPr>
              <a:solidFill>
                <a:schemeClr val="accent5"/>
              </a:solidFill>
            </c:spPr>
            <c:extLst>
              <c:ext xmlns:c16="http://schemas.microsoft.com/office/drawing/2014/chart" uri="{C3380CC4-5D6E-409C-BE32-E72D297353CC}">
                <c16:uniqueId val="{00000015-8D50-4C4F-BC70-A50E0EA97C36}"/>
              </c:ext>
            </c:extLst>
          </c:dPt>
          <c:dPt>
            <c:idx val="11"/>
            <c:bubble3D val="0"/>
            <c:spPr>
              <a:solidFill>
                <a:schemeClr val="accent6"/>
              </a:solidFill>
            </c:spPr>
            <c:extLst>
              <c:ext xmlns:c16="http://schemas.microsoft.com/office/drawing/2014/chart" uri="{C3380CC4-5D6E-409C-BE32-E72D297353CC}">
                <c16:uniqueId val="{00000017-8D50-4C4F-BC70-A50E0EA97C36}"/>
              </c:ext>
            </c:extLst>
          </c:dPt>
          <c:dPt>
            <c:idx val="12"/>
            <c:bubble3D val="0"/>
            <c:spPr>
              <a:solidFill>
                <a:schemeClr val="accent1"/>
              </a:solidFill>
            </c:spPr>
            <c:extLst>
              <c:ext xmlns:c16="http://schemas.microsoft.com/office/drawing/2014/chart" uri="{C3380CC4-5D6E-409C-BE32-E72D297353CC}">
                <c16:uniqueId val="{00000019-8D50-4C4F-BC70-A50E0EA97C3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'7- DÉPLACEMENTS PERSONNES'!$D$168:$D$180</c:f>
              <c:strCache>
                <c:ptCount val="13"/>
                <c:pt idx="0">
                  <c:v>Taxi</c:v>
                </c:pt>
                <c:pt idx="1">
                  <c:v>Bus</c:v>
                </c:pt>
                <c:pt idx="2">
                  <c:v>Avion</c:v>
                </c:pt>
                <c:pt idx="3">
                  <c:v>Jet Privé</c:v>
                </c:pt>
                <c:pt idx="4">
                  <c:v>Hélicoptère</c:v>
                </c:pt>
                <c:pt idx="5">
                  <c:v>Train</c:v>
                </c:pt>
                <c:pt idx="6">
                  <c:v>TER</c:v>
                </c:pt>
                <c:pt idx="7">
                  <c:v>Voilier</c:v>
                </c:pt>
                <c:pt idx="8">
                  <c:v>Zodiac</c:v>
                </c:pt>
                <c:pt idx="9">
                  <c:v>Yacht</c:v>
                </c:pt>
                <c:pt idx="10">
                  <c:v>Ferry</c:v>
                </c:pt>
                <c:pt idx="11">
                  <c:v>Déplacement de groupes - En ville ou agglomérations</c:v>
                </c:pt>
                <c:pt idx="12">
                  <c:v>Déplacement de groupes - Hors agglo</c:v>
                </c:pt>
              </c:strCache>
            </c:strRef>
          </c:cat>
          <c:val>
            <c:numRef>
              <c:f>'7- DÉPLACEMENTS PERSONNES'!$H$168:$H$180</c:f>
              <c:numCache>
                <c:formatCode>#,##0</c:formatCode>
                <c:ptCount val="13"/>
                <c:pt idx="0">
                  <c:v>50</c:v>
                </c:pt>
                <c:pt idx="1">
                  <c:v>0</c:v>
                </c:pt>
                <c:pt idx="2">
                  <c:v>117467.68</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8D50-4C4F-BC70-A50E0EA97C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0493788968027604"/>
          <c:y val="2.2640296463513603E-2"/>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sz="1800" b="1" i="0">
                <a:solidFill>
                  <a:schemeClr val="dk1"/>
                </a:solidFill>
                <a:latin typeface="+mn-lt"/>
              </a:rPr>
              <a:t>Répartition du type de stockage</a:t>
            </a:r>
          </a:p>
        </c:rich>
      </c:tx>
      <c:overlay val="0"/>
    </c:title>
    <c:autoTitleDeleted val="0"/>
    <c:plotArea>
      <c:layout/>
      <c:pieChart>
        <c:varyColors val="1"/>
        <c:ser>
          <c:idx val="0"/>
          <c:order val="0"/>
          <c:dPt>
            <c:idx val="0"/>
            <c:bubble3D val="0"/>
            <c:spPr>
              <a:solidFill>
                <a:schemeClr val="accent4"/>
              </a:solidFill>
            </c:spPr>
            <c:extLst>
              <c:ext xmlns:c16="http://schemas.microsoft.com/office/drawing/2014/chart" uri="{C3380CC4-5D6E-409C-BE32-E72D297353CC}">
                <c16:uniqueId val="{00000001-04A0-0043-B877-8E2A8998EC8A}"/>
              </c:ext>
            </c:extLst>
          </c:dPt>
          <c:dPt>
            <c:idx val="1"/>
            <c:bubble3D val="0"/>
            <c:spPr>
              <a:solidFill>
                <a:schemeClr val="accent4"/>
              </a:solidFill>
            </c:spPr>
            <c:extLst>
              <c:ext xmlns:c16="http://schemas.microsoft.com/office/drawing/2014/chart" uri="{C3380CC4-5D6E-409C-BE32-E72D297353CC}">
                <c16:uniqueId val="{00000003-04A0-0043-B877-8E2A8998EC8A}"/>
              </c:ext>
            </c:extLst>
          </c:dPt>
          <c:dPt>
            <c:idx val="2"/>
            <c:bubble3D val="0"/>
            <c:spPr>
              <a:solidFill>
                <a:schemeClr val="accent4"/>
              </a:solidFill>
            </c:spPr>
            <c:extLst>
              <c:ext xmlns:c16="http://schemas.microsoft.com/office/drawing/2014/chart" uri="{C3380CC4-5D6E-409C-BE32-E72D297353CC}">
                <c16:uniqueId val="{00000005-04A0-0043-B877-8E2A8998EC8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'15- DATA &amp; POST-PROD'!$H$20:$H$22</c:f>
              <c:strCache>
                <c:ptCount val="3"/>
                <c:pt idx="0">
                  <c:v>TOTAL LTO</c:v>
                </c:pt>
                <c:pt idx="1">
                  <c:v>TOTAL HDD</c:v>
                </c:pt>
                <c:pt idx="2">
                  <c:v>TOTAL CLOUD</c:v>
                </c:pt>
              </c:strCache>
            </c:strRef>
          </c:cat>
          <c:val>
            <c:numRef>
              <c:f>'15- DATA &amp; POST-PROD'!$I$20:$I$22</c:f>
              <c:numCache>
                <c:formatCode>General\ "To"</c:formatCode>
                <c:ptCount val="3"/>
                <c:pt idx="0">
                  <c:v>15</c:v>
                </c:pt>
                <c:pt idx="1">
                  <c:v>0</c:v>
                </c:pt>
                <c:pt idx="2">
                  <c:v>0</c:v>
                </c:pt>
              </c:numCache>
            </c:numRef>
          </c:val>
          <c:extLst>
            <c:ext xmlns:c16="http://schemas.microsoft.com/office/drawing/2014/chart" uri="{C3380CC4-5D6E-409C-BE32-E72D297353CC}">
              <c16:uniqueId val="{00000006-04A0-0043-B877-8E2A8998EC8A}"/>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1" i="0">
                <a:solidFill>
                  <a:srgbClr val="757575"/>
                </a:solidFill>
                <a:latin typeface="+mn-lt"/>
              </a:defRPr>
            </a:pPr>
            <a:r>
              <a:rPr sz="1400" b="1" i="0">
                <a:solidFill>
                  <a:srgbClr val="757575"/>
                </a:solidFill>
                <a:latin typeface="+mn-lt"/>
              </a:rPr>
              <a:t>REPARTITION DES REPAS SUR LE TOURNAGE</a:t>
            </a:r>
          </a:p>
        </c:rich>
      </c:tx>
      <c:layout>
        <c:manualLayout>
          <c:xMode val="edge"/>
          <c:yMode val="edge"/>
          <c:x val="0.30750441511969556"/>
          <c:y val="2.6234805688428266E-2"/>
        </c:manualLayout>
      </c:layout>
      <c:overlay val="0"/>
    </c:title>
    <c:autoTitleDeleted val="0"/>
    <c:plotArea>
      <c:layout>
        <c:manualLayout>
          <c:xMode val="edge"/>
          <c:yMode val="edge"/>
          <c:x val="0.23082646591994488"/>
          <c:y val="9.7181574001577495E-2"/>
          <c:w val="0.57810489768843443"/>
          <c:h val="0.82071166803275053"/>
        </c:manualLayout>
      </c:layout>
      <c:doughnutChart>
        <c:varyColors val="1"/>
        <c:ser>
          <c:idx val="0"/>
          <c:order val="0"/>
          <c:dPt>
            <c:idx val="0"/>
            <c:bubble3D val="0"/>
            <c:spPr>
              <a:solidFill>
                <a:schemeClr val="accent2"/>
              </a:solidFill>
            </c:spPr>
            <c:extLst>
              <c:ext xmlns:c16="http://schemas.microsoft.com/office/drawing/2014/chart" uri="{C3380CC4-5D6E-409C-BE32-E72D297353CC}">
                <c16:uniqueId val="{00000001-2969-654C-A785-9F6755296D7F}"/>
              </c:ext>
            </c:extLst>
          </c:dPt>
          <c:dPt>
            <c:idx val="1"/>
            <c:bubble3D val="0"/>
            <c:spPr>
              <a:solidFill>
                <a:schemeClr val="accent4"/>
              </a:solidFill>
            </c:spPr>
            <c:extLst>
              <c:ext xmlns:c16="http://schemas.microsoft.com/office/drawing/2014/chart" uri="{C3380CC4-5D6E-409C-BE32-E72D297353CC}">
                <c16:uniqueId val="{00000003-2969-654C-A785-9F6755296D7F}"/>
              </c:ext>
            </c:extLst>
          </c:dPt>
          <c:dPt>
            <c:idx val="2"/>
            <c:bubble3D val="0"/>
            <c:spPr>
              <a:solidFill>
                <a:schemeClr val="accent6"/>
              </a:solidFill>
            </c:spPr>
            <c:extLst>
              <c:ext xmlns:c16="http://schemas.microsoft.com/office/drawing/2014/chart" uri="{C3380CC4-5D6E-409C-BE32-E72D297353CC}">
                <c16:uniqueId val="{00000005-2969-654C-A785-9F6755296D7F}"/>
              </c:ext>
            </c:extLst>
          </c:dPt>
          <c:dPt>
            <c:idx val="3"/>
            <c:bubble3D val="0"/>
            <c:spPr>
              <a:solidFill>
                <a:schemeClr val="accent2"/>
              </a:solidFill>
            </c:spPr>
            <c:extLst>
              <c:ext xmlns:c16="http://schemas.microsoft.com/office/drawing/2014/chart" uri="{C3380CC4-5D6E-409C-BE32-E72D297353CC}">
                <c16:uniqueId val="{00000007-2969-654C-A785-9F6755296D7F}"/>
              </c:ext>
            </c:extLst>
          </c:dPt>
          <c:cat>
            <c:strRef>
              <c:f>'8- REPAS'!$C$63:$C$66</c:f>
              <c:strCache>
                <c:ptCount val="4"/>
                <c:pt idx="0">
                  <c:v>Viande rouge</c:v>
                </c:pt>
                <c:pt idx="1">
                  <c:v>Viande blanche ou poisson </c:v>
                </c:pt>
                <c:pt idx="2">
                  <c:v>Repas végétariens </c:v>
                </c:pt>
                <c:pt idx="3">
                  <c:v>Repas moyens </c:v>
                </c:pt>
              </c:strCache>
            </c:strRef>
          </c:cat>
          <c:val>
            <c:numRef>
              <c:f>'8- REPAS'!$F$63:$F$66</c:f>
              <c:numCache>
                <c:formatCode>#,##0</c:formatCode>
                <c:ptCount val="4"/>
                <c:pt idx="0">
                  <c:v>21</c:v>
                </c:pt>
                <c:pt idx="1">
                  <c:v>125</c:v>
                </c:pt>
                <c:pt idx="2">
                  <c:v>179</c:v>
                </c:pt>
                <c:pt idx="3">
                  <c:v>0</c:v>
                </c:pt>
              </c:numCache>
            </c:numRef>
          </c:val>
          <c:extLst>
            <c:ext xmlns:c16="http://schemas.microsoft.com/office/drawing/2014/chart" uri="{C3380CC4-5D6E-409C-BE32-E72D297353CC}">
              <c16:uniqueId val="{00000008-2969-654C-A785-9F6755296D7F}"/>
            </c:ext>
          </c:extLst>
        </c:ser>
        <c:dLbls>
          <c:showLegendKey val="0"/>
          <c:showVal val="0"/>
          <c:showCatName val="0"/>
          <c:showSerName val="0"/>
          <c:showPercent val="0"/>
          <c:showBubbleSize val="0"/>
          <c:showLeaderLines val="1"/>
        </c:dLbls>
        <c:firstSliceAng val="0"/>
        <c:holeSize val="50"/>
      </c:doughnutChart>
    </c:plotArea>
    <c:legend>
      <c:legendPos val="t"/>
      <c:layout>
        <c:manualLayout>
          <c:xMode val="edge"/>
          <c:yMode val="edge"/>
          <c:x val="0.23580857529774943"/>
          <c:y val="0.93271787798855132"/>
        </c:manualLayout>
      </c:layout>
      <c:overlay val="0"/>
      <c:txPr>
        <a:bodyPr/>
        <a:lstStyle/>
        <a:p>
          <a:pPr lvl="0">
            <a:defRPr sz="900" b="0" i="0">
              <a:solidFill>
                <a:srgbClr val="1A1A1A"/>
              </a:solidFill>
              <a:latin typeface="+mn-lt"/>
            </a:defRPr>
          </a:pPr>
          <a:endParaRPr lang="fr-FR"/>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manualLayout>
          <c:xMode val="edge"/>
          <c:yMode val="edge"/>
          <c:x val="2.5955000467008216E-2"/>
          <c:y val="4.1237113402061855E-2"/>
          <c:w val="0.64949142073512323"/>
          <c:h val="0.91752577319587625"/>
        </c:manualLayout>
      </c:layout>
      <c:pieChart>
        <c:varyColors val="1"/>
        <c:ser>
          <c:idx val="0"/>
          <c:order val="0"/>
          <c:dPt>
            <c:idx val="0"/>
            <c:bubble3D val="0"/>
            <c:spPr>
              <a:solidFill>
                <a:schemeClr val="accent1"/>
              </a:solidFill>
            </c:spPr>
            <c:extLst>
              <c:ext xmlns:c16="http://schemas.microsoft.com/office/drawing/2014/chart" uri="{C3380CC4-5D6E-409C-BE32-E72D297353CC}">
                <c16:uniqueId val="{00000001-CD2B-4745-A2C1-9C7FBE89B2A2}"/>
              </c:ext>
            </c:extLst>
          </c:dPt>
          <c:dPt>
            <c:idx val="1"/>
            <c:bubble3D val="0"/>
            <c:spPr>
              <a:solidFill>
                <a:schemeClr val="accent2"/>
              </a:solidFill>
            </c:spPr>
            <c:extLst>
              <c:ext xmlns:c16="http://schemas.microsoft.com/office/drawing/2014/chart" uri="{C3380CC4-5D6E-409C-BE32-E72D297353CC}">
                <c16:uniqueId val="{00000003-CD2B-4745-A2C1-9C7FBE89B2A2}"/>
              </c:ext>
            </c:extLst>
          </c:dPt>
          <c:dPt>
            <c:idx val="2"/>
            <c:bubble3D val="0"/>
            <c:spPr>
              <a:solidFill>
                <a:schemeClr val="accent3"/>
              </a:solidFill>
            </c:spPr>
            <c:extLst>
              <c:ext xmlns:c16="http://schemas.microsoft.com/office/drawing/2014/chart" uri="{C3380CC4-5D6E-409C-BE32-E72D297353CC}">
                <c16:uniqueId val="{00000005-CD2B-4745-A2C1-9C7FBE89B2A2}"/>
              </c:ext>
            </c:extLst>
          </c:dPt>
          <c:dPt>
            <c:idx val="3"/>
            <c:bubble3D val="0"/>
            <c:spPr>
              <a:solidFill>
                <a:schemeClr val="accent4"/>
              </a:solidFill>
            </c:spPr>
            <c:extLst>
              <c:ext xmlns:c16="http://schemas.microsoft.com/office/drawing/2014/chart" uri="{C3380CC4-5D6E-409C-BE32-E72D297353CC}">
                <c16:uniqueId val="{00000007-CD2B-4745-A2C1-9C7FBE89B2A2}"/>
              </c:ext>
            </c:extLst>
          </c:dPt>
          <c:dPt>
            <c:idx val="4"/>
            <c:bubble3D val="0"/>
            <c:spPr>
              <a:solidFill>
                <a:schemeClr val="accent5"/>
              </a:solidFill>
            </c:spPr>
            <c:extLst>
              <c:ext xmlns:c16="http://schemas.microsoft.com/office/drawing/2014/chart" uri="{C3380CC4-5D6E-409C-BE32-E72D297353CC}">
                <c16:uniqueId val="{00000009-CD2B-4745-A2C1-9C7FBE89B2A2}"/>
              </c:ext>
            </c:extLst>
          </c:dPt>
          <c:dPt>
            <c:idx val="5"/>
            <c:bubble3D val="0"/>
            <c:spPr>
              <a:solidFill>
                <a:schemeClr val="accent6"/>
              </a:solidFill>
            </c:spPr>
            <c:extLst>
              <c:ext xmlns:c16="http://schemas.microsoft.com/office/drawing/2014/chart" uri="{C3380CC4-5D6E-409C-BE32-E72D297353CC}">
                <c16:uniqueId val="{0000000B-CD2B-4745-A2C1-9C7FBE89B2A2}"/>
              </c:ext>
            </c:extLst>
          </c:dPt>
          <c:dPt>
            <c:idx val="6"/>
            <c:bubble3D val="0"/>
            <c:spPr>
              <a:solidFill>
                <a:schemeClr val="accent1"/>
              </a:solidFill>
            </c:spPr>
            <c:extLst>
              <c:ext xmlns:c16="http://schemas.microsoft.com/office/drawing/2014/chart" uri="{C3380CC4-5D6E-409C-BE32-E72D297353CC}">
                <c16:uniqueId val="{0000000D-CD2B-4745-A2C1-9C7FBE89B2A2}"/>
              </c:ext>
            </c:extLst>
          </c:dPt>
          <c:dPt>
            <c:idx val="7"/>
            <c:bubble3D val="0"/>
            <c:spPr>
              <a:solidFill>
                <a:schemeClr val="accent2"/>
              </a:solidFill>
            </c:spPr>
            <c:extLst>
              <c:ext xmlns:c16="http://schemas.microsoft.com/office/drawing/2014/chart" uri="{C3380CC4-5D6E-409C-BE32-E72D297353CC}">
                <c16:uniqueId val="{0000000F-CD2B-4745-A2C1-9C7FBE89B2A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'9- DÉCHETS'!$B$247:$B$254</c:f>
              <c:strCache>
                <c:ptCount val="8"/>
                <c:pt idx="0">
                  <c:v>Recyclables</c:v>
                </c:pt>
                <c:pt idx="1">
                  <c:v>Verre</c:v>
                </c:pt>
                <c:pt idx="2">
                  <c:v>Alimentaires</c:v>
                </c:pt>
                <c:pt idx="3">
                  <c:v>DIB - tout-venants</c:v>
                </c:pt>
                <c:pt idx="4">
                  <c:v>Bois - déco</c:v>
                </c:pt>
                <c:pt idx="5">
                  <c:v>Métal - déco</c:v>
                </c:pt>
                <c:pt idx="6">
                  <c:v>Plastiques - déco</c:v>
                </c:pt>
                <c:pt idx="7">
                  <c:v>Déchets spéciaux</c:v>
                </c:pt>
              </c:strCache>
            </c:strRef>
          </c:cat>
          <c:val>
            <c:numRef>
              <c:f>'9- DÉCHETS'!$C$247:$C$254</c:f>
              <c:numCache>
                <c:formatCode>General\ "kg"</c:formatCode>
                <c:ptCount val="8"/>
                <c:pt idx="0">
                  <c:v>3.77</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CD2B-4745-A2C1-9C7FBE89B2A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061095331735685"/>
          <c:y val="0.17541447431535911"/>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manualLayout>
          <c:xMode val="edge"/>
          <c:yMode val="edge"/>
          <c:x val="3.1011706128391693E-2"/>
          <c:y val="4.5056324840728551E-2"/>
          <c:w val="0.64949850164821832"/>
          <c:h val="0.91739673779199771"/>
        </c:manualLayout>
      </c:layout>
      <c:pieChart>
        <c:varyColors val="1"/>
        <c:ser>
          <c:idx val="0"/>
          <c:order val="0"/>
          <c:dPt>
            <c:idx val="0"/>
            <c:bubble3D val="0"/>
            <c:spPr>
              <a:solidFill>
                <a:schemeClr val="accent1"/>
              </a:solidFill>
            </c:spPr>
            <c:extLst>
              <c:ext xmlns:c16="http://schemas.microsoft.com/office/drawing/2014/chart" uri="{C3380CC4-5D6E-409C-BE32-E72D297353CC}">
                <c16:uniqueId val="{00000001-F301-5748-92B9-6048F88CCB29}"/>
              </c:ext>
            </c:extLst>
          </c:dPt>
          <c:dPt>
            <c:idx val="1"/>
            <c:bubble3D val="0"/>
            <c:spPr>
              <a:solidFill>
                <a:schemeClr val="accent2"/>
              </a:solidFill>
            </c:spPr>
            <c:extLst>
              <c:ext xmlns:c16="http://schemas.microsoft.com/office/drawing/2014/chart" uri="{C3380CC4-5D6E-409C-BE32-E72D297353CC}">
                <c16:uniqueId val="{00000003-F301-5748-92B9-6048F88CCB29}"/>
              </c:ext>
            </c:extLst>
          </c:dPt>
          <c:dPt>
            <c:idx val="2"/>
            <c:bubble3D val="0"/>
            <c:spPr>
              <a:solidFill>
                <a:schemeClr val="accent3"/>
              </a:solidFill>
            </c:spPr>
            <c:extLst>
              <c:ext xmlns:c16="http://schemas.microsoft.com/office/drawing/2014/chart" uri="{C3380CC4-5D6E-409C-BE32-E72D297353CC}">
                <c16:uniqueId val="{00000005-F301-5748-92B9-6048F88CCB29}"/>
              </c:ext>
            </c:extLst>
          </c:dPt>
          <c:dPt>
            <c:idx val="3"/>
            <c:bubble3D val="0"/>
            <c:spPr>
              <a:solidFill>
                <a:schemeClr val="accent4"/>
              </a:solidFill>
            </c:spPr>
            <c:extLst>
              <c:ext xmlns:c16="http://schemas.microsoft.com/office/drawing/2014/chart" uri="{C3380CC4-5D6E-409C-BE32-E72D297353CC}">
                <c16:uniqueId val="{00000007-F301-5748-92B9-6048F88CCB29}"/>
              </c:ext>
            </c:extLst>
          </c:dPt>
          <c:dPt>
            <c:idx val="4"/>
            <c:bubble3D val="0"/>
            <c:spPr>
              <a:solidFill>
                <a:schemeClr val="accent5"/>
              </a:solidFill>
            </c:spPr>
            <c:extLst>
              <c:ext xmlns:c16="http://schemas.microsoft.com/office/drawing/2014/chart" uri="{C3380CC4-5D6E-409C-BE32-E72D297353CC}">
                <c16:uniqueId val="{00000009-F301-5748-92B9-6048F88CCB29}"/>
              </c:ext>
            </c:extLst>
          </c:dPt>
          <c:dPt>
            <c:idx val="5"/>
            <c:bubble3D val="0"/>
            <c:spPr>
              <a:solidFill>
                <a:schemeClr val="accent6"/>
              </a:solidFill>
            </c:spPr>
            <c:extLst>
              <c:ext xmlns:c16="http://schemas.microsoft.com/office/drawing/2014/chart" uri="{C3380CC4-5D6E-409C-BE32-E72D297353CC}">
                <c16:uniqueId val="{0000000B-F301-5748-92B9-6048F88CCB29}"/>
              </c:ext>
            </c:extLst>
          </c:dPt>
          <c:dPt>
            <c:idx val="6"/>
            <c:bubble3D val="0"/>
            <c:spPr>
              <a:solidFill>
                <a:schemeClr val="accent1"/>
              </a:solidFill>
            </c:spPr>
            <c:extLst>
              <c:ext xmlns:c16="http://schemas.microsoft.com/office/drawing/2014/chart" uri="{C3380CC4-5D6E-409C-BE32-E72D297353CC}">
                <c16:uniqueId val="{0000000D-F301-5748-92B9-6048F88CCB29}"/>
              </c:ext>
            </c:extLst>
          </c:dPt>
          <c:dPt>
            <c:idx val="7"/>
            <c:bubble3D val="0"/>
            <c:spPr>
              <a:solidFill>
                <a:schemeClr val="accent2"/>
              </a:solidFill>
            </c:spPr>
            <c:extLst>
              <c:ext xmlns:c16="http://schemas.microsoft.com/office/drawing/2014/chart" uri="{C3380CC4-5D6E-409C-BE32-E72D297353CC}">
                <c16:uniqueId val="{0000000F-F301-5748-92B9-6048F88CCB2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'9- DÉCHETS'!$B$247:$B$254</c:f>
              <c:strCache>
                <c:ptCount val="8"/>
                <c:pt idx="0">
                  <c:v>Recyclables</c:v>
                </c:pt>
                <c:pt idx="1">
                  <c:v>Verre</c:v>
                </c:pt>
                <c:pt idx="2">
                  <c:v>Alimentaires</c:v>
                </c:pt>
                <c:pt idx="3">
                  <c:v>DIB - tout-venants</c:v>
                </c:pt>
                <c:pt idx="4">
                  <c:v>Bois - déco</c:v>
                </c:pt>
                <c:pt idx="5">
                  <c:v>Métal - déco</c:v>
                </c:pt>
                <c:pt idx="6">
                  <c:v>Plastiques - déco</c:v>
                </c:pt>
                <c:pt idx="7">
                  <c:v>Déchets spéciaux</c:v>
                </c:pt>
              </c:strCache>
            </c:strRef>
          </c:cat>
          <c:val>
            <c:numRef>
              <c:f>'9- DÉCHETS'!$D$247:$D$254</c:f>
              <c:numCache>
                <c:formatCode>General\ "kg"</c:formatCode>
                <c:ptCount val="8"/>
                <c:pt idx="0">
                  <c:v>0</c:v>
                </c:pt>
                <c:pt idx="1">
                  <c:v>0</c:v>
                </c:pt>
                <c:pt idx="2">
                  <c:v>9.9600000000000009</c:v>
                </c:pt>
                <c:pt idx="3">
                  <c:v>16.11</c:v>
                </c:pt>
                <c:pt idx="4">
                  <c:v>0</c:v>
                </c:pt>
                <c:pt idx="5">
                  <c:v>0</c:v>
                </c:pt>
                <c:pt idx="6">
                  <c:v>0</c:v>
                </c:pt>
                <c:pt idx="7">
                  <c:v>0</c:v>
                </c:pt>
              </c:numCache>
            </c:numRef>
          </c:val>
          <c:extLst>
            <c:ext xmlns:c16="http://schemas.microsoft.com/office/drawing/2014/chart" uri="{C3380CC4-5D6E-409C-BE32-E72D297353CC}">
              <c16:uniqueId val="{00000010-F301-5748-92B9-6048F88CCB2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0082947800174267"/>
          <c:y val="0.18286541078566818"/>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manualLayout>
          <c:xMode val="edge"/>
          <c:yMode val="edge"/>
          <c:x val="2.8849107255056804E-2"/>
          <c:y val="4.5056338161417582E-2"/>
          <c:w val="0.64881574052990743"/>
          <c:h val="0.91739671337073447"/>
        </c:manualLayout>
      </c:layout>
      <c:pieChart>
        <c:varyColors val="1"/>
        <c:ser>
          <c:idx val="0"/>
          <c:order val="0"/>
          <c:dPt>
            <c:idx val="0"/>
            <c:bubble3D val="0"/>
            <c:spPr>
              <a:solidFill>
                <a:schemeClr val="accent1"/>
              </a:solidFill>
            </c:spPr>
            <c:extLst>
              <c:ext xmlns:c16="http://schemas.microsoft.com/office/drawing/2014/chart" uri="{C3380CC4-5D6E-409C-BE32-E72D297353CC}">
                <c16:uniqueId val="{00000001-37FD-024F-BD19-E221406847AC}"/>
              </c:ext>
            </c:extLst>
          </c:dPt>
          <c:dPt>
            <c:idx val="1"/>
            <c:bubble3D val="0"/>
            <c:spPr>
              <a:solidFill>
                <a:schemeClr val="accent2"/>
              </a:solidFill>
            </c:spPr>
            <c:extLst>
              <c:ext xmlns:c16="http://schemas.microsoft.com/office/drawing/2014/chart" uri="{C3380CC4-5D6E-409C-BE32-E72D297353CC}">
                <c16:uniqueId val="{00000003-37FD-024F-BD19-E221406847AC}"/>
              </c:ext>
            </c:extLst>
          </c:dPt>
          <c:dPt>
            <c:idx val="2"/>
            <c:bubble3D val="0"/>
            <c:spPr>
              <a:solidFill>
                <a:schemeClr val="accent3"/>
              </a:solidFill>
            </c:spPr>
            <c:extLst>
              <c:ext xmlns:c16="http://schemas.microsoft.com/office/drawing/2014/chart" uri="{C3380CC4-5D6E-409C-BE32-E72D297353CC}">
                <c16:uniqueId val="{00000005-37FD-024F-BD19-E221406847AC}"/>
              </c:ext>
            </c:extLst>
          </c:dPt>
          <c:dPt>
            <c:idx val="3"/>
            <c:bubble3D val="0"/>
            <c:spPr>
              <a:solidFill>
                <a:schemeClr val="accent4"/>
              </a:solidFill>
            </c:spPr>
            <c:extLst>
              <c:ext xmlns:c16="http://schemas.microsoft.com/office/drawing/2014/chart" uri="{C3380CC4-5D6E-409C-BE32-E72D297353CC}">
                <c16:uniqueId val="{00000007-37FD-024F-BD19-E221406847AC}"/>
              </c:ext>
            </c:extLst>
          </c:dPt>
          <c:dPt>
            <c:idx val="4"/>
            <c:bubble3D val="0"/>
            <c:spPr>
              <a:solidFill>
                <a:schemeClr val="accent5"/>
              </a:solidFill>
            </c:spPr>
            <c:extLst>
              <c:ext xmlns:c16="http://schemas.microsoft.com/office/drawing/2014/chart" uri="{C3380CC4-5D6E-409C-BE32-E72D297353CC}">
                <c16:uniqueId val="{00000009-37FD-024F-BD19-E221406847AC}"/>
              </c:ext>
            </c:extLst>
          </c:dPt>
          <c:dPt>
            <c:idx val="5"/>
            <c:bubble3D val="0"/>
            <c:spPr>
              <a:solidFill>
                <a:schemeClr val="accent6"/>
              </a:solidFill>
            </c:spPr>
            <c:extLst>
              <c:ext xmlns:c16="http://schemas.microsoft.com/office/drawing/2014/chart" uri="{C3380CC4-5D6E-409C-BE32-E72D297353CC}">
                <c16:uniqueId val="{0000000B-37FD-024F-BD19-E221406847AC}"/>
              </c:ext>
            </c:extLst>
          </c:dPt>
          <c:dPt>
            <c:idx val="6"/>
            <c:bubble3D val="0"/>
            <c:spPr>
              <a:solidFill>
                <a:schemeClr val="accent1"/>
              </a:solidFill>
            </c:spPr>
            <c:extLst>
              <c:ext xmlns:c16="http://schemas.microsoft.com/office/drawing/2014/chart" uri="{C3380CC4-5D6E-409C-BE32-E72D297353CC}">
                <c16:uniqueId val="{0000000D-37FD-024F-BD19-E221406847AC}"/>
              </c:ext>
            </c:extLst>
          </c:dPt>
          <c:dPt>
            <c:idx val="7"/>
            <c:bubble3D val="0"/>
            <c:spPr>
              <a:solidFill>
                <a:schemeClr val="accent2"/>
              </a:solidFill>
            </c:spPr>
            <c:extLst>
              <c:ext xmlns:c16="http://schemas.microsoft.com/office/drawing/2014/chart" uri="{C3380CC4-5D6E-409C-BE32-E72D297353CC}">
                <c16:uniqueId val="{0000000F-37FD-024F-BD19-E221406847AC}"/>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'9- DÉCHETS'!$B$247:$B$254</c:f>
              <c:strCache>
                <c:ptCount val="8"/>
                <c:pt idx="0">
                  <c:v>Recyclables</c:v>
                </c:pt>
                <c:pt idx="1">
                  <c:v>Verre</c:v>
                </c:pt>
                <c:pt idx="2">
                  <c:v>Alimentaires</c:v>
                </c:pt>
                <c:pt idx="3">
                  <c:v>DIB - tout-venants</c:v>
                </c:pt>
                <c:pt idx="4">
                  <c:v>Bois - déco</c:v>
                </c:pt>
                <c:pt idx="5">
                  <c:v>Métal - déco</c:v>
                </c:pt>
                <c:pt idx="6">
                  <c:v>Plastiques - déco</c:v>
                </c:pt>
                <c:pt idx="7">
                  <c:v>Déchets spéciaux</c:v>
                </c:pt>
              </c:strCache>
            </c:strRef>
          </c:cat>
          <c:val>
            <c:numRef>
              <c:f>'9- DÉCHETS'!$E$247:$E$254</c:f>
              <c:numCache>
                <c:formatCode>General\ "kg"</c:formatCode>
                <c:ptCount val="8"/>
                <c:pt idx="0">
                  <c:v>0</c:v>
                </c:pt>
                <c:pt idx="1">
                  <c:v>6.35</c:v>
                </c:pt>
                <c:pt idx="2">
                  <c:v>0</c:v>
                </c:pt>
                <c:pt idx="3">
                  <c:v>0</c:v>
                </c:pt>
                <c:pt idx="4">
                  <c:v>0</c:v>
                </c:pt>
                <c:pt idx="5">
                  <c:v>0</c:v>
                </c:pt>
                <c:pt idx="6">
                  <c:v>0</c:v>
                </c:pt>
                <c:pt idx="7">
                  <c:v>0</c:v>
                </c:pt>
              </c:numCache>
            </c:numRef>
          </c:val>
          <c:extLst>
            <c:ext xmlns:c16="http://schemas.microsoft.com/office/drawing/2014/chart" uri="{C3380CC4-5D6E-409C-BE32-E72D297353CC}">
              <c16:uniqueId val="{00000010-37FD-024F-BD19-E221406847A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1341574023685494"/>
          <c:y val="0.15998161726083573"/>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manualLayout>
          <c:xMode val="edge"/>
          <c:yMode val="edge"/>
          <c:x val="4.2930553643995971E-2"/>
          <c:y val="6.5068999489109547E-2"/>
          <c:w val="0.69606704865663638"/>
          <c:h val="0.87915757237736802"/>
        </c:manualLayout>
      </c:layout>
      <c:pieChart>
        <c:varyColors val="1"/>
        <c:ser>
          <c:idx val="0"/>
          <c:order val="0"/>
          <c:dPt>
            <c:idx val="0"/>
            <c:bubble3D val="0"/>
            <c:spPr>
              <a:solidFill>
                <a:schemeClr val="accent1"/>
              </a:solidFill>
            </c:spPr>
            <c:extLst>
              <c:ext xmlns:c16="http://schemas.microsoft.com/office/drawing/2014/chart" uri="{C3380CC4-5D6E-409C-BE32-E72D297353CC}">
                <c16:uniqueId val="{00000001-E69A-284A-B652-1C192F55799F}"/>
              </c:ext>
            </c:extLst>
          </c:dPt>
          <c:dPt>
            <c:idx val="1"/>
            <c:bubble3D val="0"/>
            <c:spPr>
              <a:solidFill>
                <a:schemeClr val="accent2"/>
              </a:solidFill>
            </c:spPr>
            <c:extLst>
              <c:ext xmlns:c16="http://schemas.microsoft.com/office/drawing/2014/chart" uri="{C3380CC4-5D6E-409C-BE32-E72D297353CC}">
                <c16:uniqueId val="{00000003-E69A-284A-B652-1C192F55799F}"/>
              </c:ext>
            </c:extLst>
          </c:dPt>
          <c:dPt>
            <c:idx val="2"/>
            <c:bubble3D val="0"/>
            <c:spPr>
              <a:solidFill>
                <a:schemeClr val="accent3"/>
              </a:solidFill>
            </c:spPr>
            <c:extLst>
              <c:ext xmlns:c16="http://schemas.microsoft.com/office/drawing/2014/chart" uri="{C3380CC4-5D6E-409C-BE32-E72D297353CC}">
                <c16:uniqueId val="{00000005-E69A-284A-B652-1C192F55799F}"/>
              </c:ext>
            </c:extLst>
          </c:dPt>
          <c:dPt>
            <c:idx val="3"/>
            <c:bubble3D val="0"/>
            <c:spPr>
              <a:solidFill>
                <a:schemeClr val="accent4"/>
              </a:solidFill>
            </c:spPr>
            <c:extLst>
              <c:ext xmlns:c16="http://schemas.microsoft.com/office/drawing/2014/chart" uri="{C3380CC4-5D6E-409C-BE32-E72D297353CC}">
                <c16:uniqueId val="{00000007-E69A-284A-B652-1C192F55799F}"/>
              </c:ext>
            </c:extLst>
          </c:dPt>
          <c:dPt>
            <c:idx val="4"/>
            <c:bubble3D val="0"/>
            <c:spPr>
              <a:solidFill>
                <a:schemeClr val="accent5"/>
              </a:solidFill>
            </c:spPr>
            <c:extLst>
              <c:ext xmlns:c16="http://schemas.microsoft.com/office/drawing/2014/chart" uri="{C3380CC4-5D6E-409C-BE32-E72D297353CC}">
                <c16:uniqueId val="{00000009-E69A-284A-B652-1C192F55799F}"/>
              </c:ext>
            </c:extLst>
          </c:dPt>
          <c:dPt>
            <c:idx val="5"/>
            <c:bubble3D val="0"/>
            <c:spPr>
              <a:solidFill>
                <a:schemeClr val="accent6"/>
              </a:solidFill>
            </c:spPr>
            <c:extLst>
              <c:ext xmlns:c16="http://schemas.microsoft.com/office/drawing/2014/chart" uri="{C3380CC4-5D6E-409C-BE32-E72D297353CC}">
                <c16:uniqueId val="{0000000B-E69A-284A-B652-1C192F55799F}"/>
              </c:ext>
            </c:extLst>
          </c:dPt>
          <c:dPt>
            <c:idx val="6"/>
            <c:bubble3D val="0"/>
            <c:spPr>
              <a:solidFill>
                <a:schemeClr val="accent1"/>
              </a:solidFill>
            </c:spPr>
            <c:extLst>
              <c:ext xmlns:c16="http://schemas.microsoft.com/office/drawing/2014/chart" uri="{C3380CC4-5D6E-409C-BE32-E72D297353CC}">
                <c16:uniqueId val="{0000000D-E69A-284A-B652-1C192F55799F}"/>
              </c:ext>
            </c:extLst>
          </c:dPt>
          <c:dPt>
            <c:idx val="7"/>
            <c:bubble3D val="0"/>
            <c:spPr>
              <a:solidFill>
                <a:schemeClr val="accent2"/>
              </a:solidFill>
            </c:spPr>
            <c:extLst>
              <c:ext xmlns:c16="http://schemas.microsoft.com/office/drawing/2014/chart" uri="{C3380CC4-5D6E-409C-BE32-E72D297353CC}">
                <c16:uniqueId val="{0000000F-E69A-284A-B652-1C192F55799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'9- DÉCHETS'!$B$247:$B$254</c:f>
              <c:strCache>
                <c:ptCount val="8"/>
                <c:pt idx="0">
                  <c:v>Recyclables</c:v>
                </c:pt>
                <c:pt idx="1">
                  <c:v>Verre</c:v>
                </c:pt>
                <c:pt idx="2">
                  <c:v>Alimentaires</c:v>
                </c:pt>
                <c:pt idx="3">
                  <c:v>DIB - tout-venants</c:v>
                </c:pt>
                <c:pt idx="4">
                  <c:v>Bois - déco</c:v>
                </c:pt>
                <c:pt idx="5">
                  <c:v>Métal - déco</c:v>
                </c:pt>
                <c:pt idx="6">
                  <c:v>Plastiques - déco</c:v>
                </c:pt>
                <c:pt idx="7">
                  <c:v>Déchets spéciaux</c:v>
                </c:pt>
              </c:strCache>
            </c:strRef>
          </c:cat>
          <c:val>
            <c:numRef>
              <c:f>'9- DÉCHETS'!$F$247:$F$254</c:f>
              <c:numCache>
                <c:formatCode>General\ "kg"</c:formatCode>
                <c:ptCount val="8"/>
                <c:pt idx="0">
                  <c:v>3.77</c:v>
                </c:pt>
                <c:pt idx="1">
                  <c:v>6.35</c:v>
                </c:pt>
                <c:pt idx="2">
                  <c:v>9.9600000000000009</c:v>
                </c:pt>
                <c:pt idx="3">
                  <c:v>16.11</c:v>
                </c:pt>
                <c:pt idx="4">
                  <c:v>0</c:v>
                </c:pt>
                <c:pt idx="5">
                  <c:v>0</c:v>
                </c:pt>
                <c:pt idx="6">
                  <c:v>0</c:v>
                </c:pt>
                <c:pt idx="7">
                  <c:v>0</c:v>
                </c:pt>
              </c:numCache>
            </c:numRef>
          </c:val>
          <c:extLst>
            <c:ext xmlns:c16="http://schemas.microsoft.com/office/drawing/2014/chart" uri="{C3380CC4-5D6E-409C-BE32-E72D297353CC}">
              <c16:uniqueId val="{00000010-E69A-284A-B652-1C192F55799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8791588493940556"/>
          <c:y val="0.17572051657027088"/>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5"/>
              </a:solidFill>
            </c:spPr>
            <c:extLst>
              <c:ext xmlns:c16="http://schemas.microsoft.com/office/drawing/2014/chart" uri="{C3380CC4-5D6E-409C-BE32-E72D297353CC}">
                <c16:uniqueId val="{00000001-8F4D-8B43-8CC0-04E55B19404F}"/>
              </c:ext>
            </c:extLst>
          </c:dPt>
          <c:dPt>
            <c:idx val="1"/>
            <c:bubble3D val="0"/>
            <c:spPr>
              <a:solidFill>
                <a:schemeClr val="accent5"/>
              </a:solidFill>
            </c:spPr>
            <c:extLst>
              <c:ext xmlns:c16="http://schemas.microsoft.com/office/drawing/2014/chart" uri="{C3380CC4-5D6E-409C-BE32-E72D297353CC}">
                <c16:uniqueId val="{00000003-8F4D-8B43-8CC0-04E55B19404F}"/>
              </c:ext>
            </c:extLst>
          </c:dPt>
          <c:dPt>
            <c:idx val="2"/>
            <c:bubble3D val="0"/>
            <c:spPr>
              <a:solidFill>
                <a:schemeClr val="accent5"/>
              </a:solidFill>
            </c:spPr>
            <c:extLst>
              <c:ext xmlns:c16="http://schemas.microsoft.com/office/drawing/2014/chart" uri="{C3380CC4-5D6E-409C-BE32-E72D297353CC}">
                <c16:uniqueId val="{00000005-8F4D-8B43-8CC0-04E55B19404F}"/>
              </c:ext>
            </c:extLst>
          </c:dPt>
          <c:dPt>
            <c:idx val="3"/>
            <c:bubble3D val="0"/>
            <c:spPr>
              <a:solidFill>
                <a:schemeClr val="accent5"/>
              </a:solidFill>
            </c:spPr>
            <c:extLst>
              <c:ext xmlns:c16="http://schemas.microsoft.com/office/drawing/2014/chart" uri="{C3380CC4-5D6E-409C-BE32-E72D297353CC}">
                <c16:uniqueId val="{00000007-8F4D-8B43-8CC0-04E55B19404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'10- MOYENS TECHNIQUES'!$D$46:$D$49</c:f>
              <c:strCache>
                <c:ptCount val="4"/>
                <c:pt idx="0">
                  <c:v>Total Matériel Prise de vue</c:v>
                </c:pt>
                <c:pt idx="1">
                  <c:v>Total Matériel Machinerie</c:v>
                </c:pt>
                <c:pt idx="2">
                  <c:v>Total Matériel Eclairage</c:v>
                </c:pt>
                <c:pt idx="3">
                  <c:v>Total Matériel Son</c:v>
                </c:pt>
              </c:strCache>
            </c:strRef>
          </c:cat>
          <c:val>
            <c:numRef>
              <c:f>'10- MOYENS TECHNIQUES'!$F$46:$F$49</c:f>
              <c:numCache>
                <c:formatCode>General\ "jour(s)"</c:formatCode>
                <c:ptCount val="4"/>
                <c:pt idx="0">
                  <c:v>25</c:v>
                </c:pt>
                <c:pt idx="1">
                  <c:v>0</c:v>
                </c:pt>
                <c:pt idx="2">
                  <c:v>0</c:v>
                </c:pt>
                <c:pt idx="3">
                  <c:v>0</c:v>
                </c:pt>
              </c:numCache>
            </c:numRef>
          </c:val>
          <c:extLst>
            <c:ext xmlns:c16="http://schemas.microsoft.com/office/drawing/2014/chart" uri="{C3380CC4-5D6E-409C-BE32-E72D297353CC}">
              <c16:uniqueId val="{00000008-8F4D-8B43-8CC0-04E55B19404F}"/>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sz="1800" b="1" i="0">
                <a:solidFill>
                  <a:schemeClr val="dk1"/>
                </a:solidFill>
                <a:latin typeface="+mn-lt"/>
              </a:rPr>
              <a:t>PAR NB DE JOURS D'UTILISATION</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5006-9341-9328-32D9E1B4E128}"/>
              </c:ext>
            </c:extLst>
          </c:dPt>
          <c:dPt>
            <c:idx val="1"/>
            <c:bubble3D val="0"/>
            <c:spPr>
              <a:solidFill>
                <a:schemeClr val="accent2"/>
              </a:solidFill>
            </c:spPr>
            <c:extLst>
              <c:ext xmlns:c16="http://schemas.microsoft.com/office/drawing/2014/chart" uri="{C3380CC4-5D6E-409C-BE32-E72D297353CC}">
                <c16:uniqueId val="{00000003-5006-9341-9328-32D9E1B4E128}"/>
              </c:ext>
            </c:extLst>
          </c:dPt>
          <c:dPt>
            <c:idx val="2"/>
            <c:bubble3D val="0"/>
            <c:spPr>
              <a:solidFill>
                <a:schemeClr val="accent3"/>
              </a:solidFill>
            </c:spPr>
            <c:extLst>
              <c:ext xmlns:c16="http://schemas.microsoft.com/office/drawing/2014/chart" uri="{C3380CC4-5D6E-409C-BE32-E72D297353CC}">
                <c16:uniqueId val="{00000005-5006-9341-9328-32D9E1B4E128}"/>
              </c:ext>
            </c:extLst>
          </c:dPt>
          <c:dPt>
            <c:idx val="3"/>
            <c:bubble3D val="0"/>
            <c:spPr>
              <a:solidFill>
                <a:schemeClr val="accent4"/>
              </a:solidFill>
            </c:spPr>
            <c:extLst>
              <c:ext xmlns:c16="http://schemas.microsoft.com/office/drawing/2014/chart" uri="{C3380CC4-5D6E-409C-BE32-E72D297353CC}">
                <c16:uniqueId val="{00000007-5006-9341-9328-32D9E1B4E128}"/>
              </c:ext>
            </c:extLst>
          </c:dPt>
          <c:dPt>
            <c:idx val="4"/>
            <c:bubble3D val="0"/>
            <c:spPr>
              <a:solidFill>
                <a:schemeClr val="accent5"/>
              </a:solidFill>
            </c:spPr>
            <c:extLst>
              <c:ext xmlns:c16="http://schemas.microsoft.com/office/drawing/2014/chart" uri="{C3380CC4-5D6E-409C-BE32-E72D297353CC}">
                <c16:uniqueId val="{00000009-5006-9341-9328-32D9E1B4E12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'12- CARS PROD &amp; REGIE'!$E$28:$E$32</c:f>
              <c:strCache>
                <c:ptCount val="5"/>
                <c:pt idx="0">
                  <c:v>RÉGIE DE PRODUCTION FIXE</c:v>
                </c:pt>
                <c:pt idx="1">
                  <c:v>RÉGIE MOBILE (RÉGIE FLY)</c:v>
                </c:pt>
                <c:pt idx="2">
                  <c:v>CAR-RÉGIE (SEMI-REMORQUE)</c:v>
                </c:pt>
                <c:pt idx="3">
                  <c:v>CAR D'ACCOMPAGNEMENT (SEMI-REMORQUE)</c:v>
                </c:pt>
                <c:pt idx="4">
                  <c:v>CAR DE TRANSMISSION</c:v>
                </c:pt>
              </c:strCache>
            </c:strRef>
          </c:cat>
          <c:val>
            <c:numRef>
              <c:f>'12- CARS PROD &amp; REGIE'!$F$28:$F$32</c:f>
              <c:numCache>
                <c:formatCode>General</c:formatCode>
                <c:ptCount val="5"/>
              </c:numCache>
            </c:numRef>
          </c:val>
          <c:extLst>
            <c:ext xmlns:c16="http://schemas.microsoft.com/office/drawing/2014/chart" uri="{C3380CC4-5D6E-409C-BE32-E72D297353CC}">
              <c16:uniqueId val="{0000000A-5006-9341-9328-32D9E1B4E12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616061252012002"/>
          <c:y val="0.15648748653785774"/>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sz="1800" b="1" i="0">
                <a:solidFill>
                  <a:schemeClr val="dk1"/>
                </a:solidFill>
                <a:latin typeface="+mn-lt"/>
              </a:rPr>
              <a:t>PAR NB DE KM PARCOURUS</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1F91-944A-9EF7-A413CB56A8C6}"/>
              </c:ext>
            </c:extLst>
          </c:dPt>
          <c:dPt>
            <c:idx val="1"/>
            <c:bubble3D val="0"/>
            <c:spPr>
              <a:solidFill>
                <a:schemeClr val="accent2"/>
              </a:solidFill>
            </c:spPr>
            <c:extLst>
              <c:ext xmlns:c16="http://schemas.microsoft.com/office/drawing/2014/chart" uri="{C3380CC4-5D6E-409C-BE32-E72D297353CC}">
                <c16:uniqueId val="{00000003-1F91-944A-9EF7-A413CB56A8C6}"/>
              </c:ext>
            </c:extLst>
          </c:dPt>
          <c:dPt>
            <c:idx val="2"/>
            <c:bubble3D val="0"/>
            <c:spPr>
              <a:solidFill>
                <a:schemeClr val="accent3"/>
              </a:solidFill>
            </c:spPr>
            <c:extLst>
              <c:ext xmlns:c16="http://schemas.microsoft.com/office/drawing/2014/chart" uri="{C3380CC4-5D6E-409C-BE32-E72D297353CC}">
                <c16:uniqueId val="{00000005-1F91-944A-9EF7-A413CB56A8C6}"/>
              </c:ext>
            </c:extLst>
          </c:dPt>
          <c:dPt>
            <c:idx val="3"/>
            <c:bubble3D val="0"/>
            <c:spPr>
              <a:solidFill>
                <a:schemeClr val="accent4"/>
              </a:solidFill>
            </c:spPr>
            <c:extLst>
              <c:ext xmlns:c16="http://schemas.microsoft.com/office/drawing/2014/chart" uri="{C3380CC4-5D6E-409C-BE32-E72D297353CC}">
                <c16:uniqueId val="{00000007-1F91-944A-9EF7-A413CB56A8C6}"/>
              </c:ext>
            </c:extLst>
          </c:dPt>
          <c:dPt>
            <c:idx val="4"/>
            <c:bubble3D val="0"/>
            <c:spPr>
              <a:solidFill>
                <a:schemeClr val="accent5"/>
              </a:solidFill>
            </c:spPr>
            <c:extLst>
              <c:ext xmlns:c16="http://schemas.microsoft.com/office/drawing/2014/chart" uri="{C3380CC4-5D6E-409C-BE32-E72D297353CC}">
                <c16:uniqueId val="{00000009-1F91-944A-9EF7-A413CB56A8C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'12- CARS PROD &amp; REGIE'!$E$28:$E$32</c:f>
              <c:strCache>
                <c:ptCount val="5"/>
                <c:pt idx="0">
                  <c:v>RÉGIE DE PRODUCTION FIXE</c:v>
                </c:pt>
                <c:pt idx="1">
                  <c:v>RÉGIE MOBILE (RÉGIE FLY)</c:v>
                </c:pt>
                <c:pt idx="2">
                  <c:v>CAR-RÉGIE (SEMI-REMORQUE)</c:v>
                </c:pt>
                <c:pt idx="3">
                  <c:v>CAR D'ACCOMPAGNEMENT (SEMI-REMORQUE)</c:v>
                </c:pt>
                <c:pt idx="4">
                  <c:v>CAR DE TRANSMISSION</c:v>
                </c:pt>
              </c:strCache>
            </c:strRef>
          </c:cat>
          <c:val>
            <c:numRef>
              <c:f>'12- CARS PROD &amp; REGIE'!$F$28:$F$32</c:f>
              <c:numCache>
                <c:formatCode>General</c:formatCode>
                <c:ptCount val="5"/>
              </c:numCache>
            </c:numRef>
          </c:val>
          <c:extLst>
            <c:ext xmlns:c16="http://schemas.microsoft.com/office/drawing/2014/chart" uri="{C3380CC4-5D6E-409C-BE32-E72D297353CC}">
              <c16:uniqueId val="{0000000A-1F91-944A-9EF7-A413CB56A8C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616061252012002"/>
          <c:y val="0.15648748653785774"/>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sz="1800" b="1" i="0">
                <a:solidFill>
                  <a:schemeClr val="dk1"/>
                </a:solidFill>
                <a:latin typeface="+mn-lt"/>
              </a:rPr>
              <a:t>NB DE GROUPES EN PRÉPA</a:t>
            </a:r>
          </a:p>
        </c:rich>
      </c:tx>
      <c:overlay val="0"/>
    </c:title>
    <c:autoTitleDeleted val="0"/>
    <c:plotArea>
      <c:layout>
        <c:manualLayout>
          <c:xMode val="edge"/>
          <c:yMode val="edge"/>
          <c:x val="3.0840949563183694E-2"/>
          <c:y val="0.22962008351351373"/>
          <c:w val="0.55557120661359738"/>
          <c:h val="0.71970668808119476"/>
        </c:manualLayout>
      </c:layout>
      <c:pieChart>
        <c:varyColors val="1"/>
        <c:ser>
          <c:idx val="0"/>
          <c:order val="0"/>
          <c:dPt>
            <c:idx val="0"/>
            <c:bubble3D val="0"/>
            <c:spPr>
              <a:solidFill>
                <a:schemeClr val="accent1"/>
              </a:solidFill>
            </c:spPr>
            <c:extLst>
              <c:ext xmlns:c16="http://schemas.microsoft.com/office/drawing/2014/chart" uri="{C3380CC4-5D6E-409C-BE32-E72D297353CC}">
                <c16:uniqueId val="{00000001-D02A-BF4E-A9D7-4C729CCEA0B0}"/>
              </c:ext>
            </c:extLst>
          </c:dPt>
          <c:dPt>
            <c:idx val="1"/>
            <c:bubble3D val="0"/>
            <c:spPr>
              <a:solidFill>
                <a:schemeClr val="accent2"/>
              </a:solidFill>
            </c:spPr>
            <c:extLst>
              <c:ext xmlns:c16="http://schemas.microsoft.com/office/drawing/2014/chart" uri="{C3380CC4-5D6E-409C-BE32-E72D297353CC}">
                <c16:uniqueId val="{00000003-D02A-BF4E-A9D7-4C729CCEA0B0}"/>
              </c:ext>
            </c:extLst>
          </c:dPt>
          <c:dPt>
            <c:idx val="2"/>
            <c:bubble3D val="0"/>
            <c:spPr>
              <a:solidFill>
                <a:schemeClr val="accent3"/>
              </a:solidFill>
            </c:spPr>
            <c:extLst>
              <c:ext xmlns:c16="http://schemas.microsoft.com/office/drawing/2014/chart" uri="{C3380CC4-5D6E-409C-BE32-E72D297353CC}">
                <c16:uniqueId val="{00000005-D02A-BF4E-A9D7-4C729CCEA0B0}"/>
              </c:ext>
            </c:extLst>
          </c:dPt>
          <c:dPt>
            <c:idx val="3"/>
            <c:bubble3D val="0"/>
            <c:spPr>
              <a:solidFill>
                <a:schemeClr val="accent4"/>
              </a:solidFill>
            </c:spPr>
            <c:extLst>
              <c:ext xmlns:c16="http://schemas.microsoft.com/office/drawing/2014/chart" uri="{C3380CC4-5D6E-409C-BE32-E72D297353CC}">
                <c16:uniqueId val="{00000007-D02A-BF4E-A9D7-4C729CCEA0B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'14- GROUPES ELECTRO'!$D$66:$D$69</c:f>
              <c:strCache>
                <c:ptCount val="4"/>
                <c:pt idx="0">
                  <c:v>Camion groupe</c:v>
                </c:pt>
                <c:pt idx="1">
                  <c:v>Groupe mobile</c:v>
                </c:pt>
                <c:pt idx="2">
                  <c:v>Petit groupe de chantier</c:v>
                </c:pt>
                <c:pt idx="3">
                  <c:v>Générateur à batterie 10kWh</c:v>
                </c:pt>
              </c:strCache>
            </c:strRef>
          </c:cat>
          <c:val>
            <c:numRef>
              <c:f>'14- GROUPES ELECTRO'!$E$66:$E$69</c:f>
              <c:numCache>
                <c:formatCode>General</c:formatCode>
                <c:ptCount val="4"/>
              </c:numCache>
            </c:numRef>
          </c:val>
          <c:extLst>
            <c:ext xmlns:c16="http://schemas.microsoft.com/office/drawing/2014/chart" uri="{C3380CC4-5D6E-409C-BE32-E72D297353CC}">
              <c16:uniqueId val="{00000008-D02A-BF4E-A9D7-4C729CCEA0B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45812153227696"/>
          <c:y val="0.30515152063337503"/>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sz="1800" b="1" i="0">
                <a:solidFill>
                  <a:schemeClr val="dk1"/>
                </a:solidFill>
                <a:latin typeface="+mn-lt"/>
              </a:rPr>
              <a:t>NB DE GROUPES EN TOURNAGE</a:t>
            </a:r>
          </a:p>
        </c:rich>
      </c:tx>
      <c:overlay val="0"/>
    </c:title>
    <c:autoTitleDeleted val="0"/>
    <c:plotArea>
      <c:layout>
        <c:manualLayout>
          <c:xMode val="edge"/>
          <c:yMode val="edge"/>
          <c:x val="6.8696494026657229E-2"/>
          <c:y val="0.224625632466606"/>
          <c:w val="0.50197746402389365"/>
          <c:h val="0.7270595425082842"/>
        </c:manualLayout>
      </c:layout>
      <c:pieChart>
        <c:varyColors val="1"/>
        <c:ser>
          <c:idx val="0"/>
          <c:order val="0"/>
          <c:dPt>
            <c:idx val="0"/>
            <c:bubble3D val="0"/>
            <c:spPr>
              <a:solidFill>
                <a:schemeClr val="accent1"/>
              </a:solidFill>
            </c:spPr>
            <c:extLst>
              <c:ext xmlns:c16="http://schemas.microsoft.com/office/drawing/2014/chart" uri="{C3380CC4-5D6E-409C-BE32-E72D297353CC}">
                <c16:uniqueId val="{00000001-A7A1-C644-B9FC-D34A556415ED}"/>
              </c:ext>
            </c:extLst>
          </c:dPt>
          <c:dPt>
            <c:idx val="1"/>
            <c:bubble3D val="0"/>
            <c:spPr>
              <a:solidFill>
                <a:schemeClr val="accent2"/>
              </a:solidFill>
            </c:spPr>
            <c:extLst>
              <c:ext xmlns:c16="http://schemas.microsoft.com/office/drawing/2014/chart" uri="{C3380CC4-5D6E-409C-BE32-E72D297353CC}">
                <c16:uniqueId val="{00000003-A7A1-C644-B9FC-D34A556415ED}"/>
              </c:ext>
            </c:extLst>
          </c:dPt>
          <c:dPt>
            <c:idx val="2"/>
            <c:bubble3D val="0"/>
            <c:spPr>
              <a:solidFill>
                <a:schemeClr val="accent3"/>
              </a:solidFill>
            </c:spPr>
            <c:extLst>
              <c:ext xmlns:c16="http://schemas.microsoft.com/office/drawing/2014/chart" uri="{C3380CC4-5D6E-409C-BE32-E72D297353CC}">
                <c16:uniqueId val="{00000005-A7A1-C644-B9FC-D34A556415ED}"/>
              </c:ext>
            </c:extLst>
          </c:dPt>
          <c:dPt>
            <c:idx val="3"/>
            <c:bubble3D val="0"/>
            <c:spPr>
              <a:solidFill>
                <a:schemeClr val="accent4"/>
              </a:solidFill>
            </c:spPr>
            <c:extLst>
              <c:ext xmlns:c16="http://schemas.microsoft.com/office/drawing/2014/chart" uri="{C3380CC4-5D6E-409C-BE32-E72D297353CC}">
                <c16:uniqueId val="{00000007-A7A1-C644-B9FC-D34A556415E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'14- GROUPES ELECTRO'!$D$66:$D$69</c:f>
              <c:strCache>
                <c:ptCount val="4"/>
                <c:pt idx="0">
                  <c:v>Camion groupe</c:v>
                </c:pt>
                <c:pt idx="1">
                  <c:v>Groupe mobile</c:v>
                </c:pt>
                <c:pt idx="2">
                  <c:v>Petit groupe de chantier</c:v>
                </c:pt>
                <c:pt idx="3">
                  <c:v>Générateur à batterie 10kWh</c:v>
                </c:pt>
              </c:strCache>
            </c:strRef>
          </c:cat>
          <c:val>
            <c:numRef>
              <c:f>'14- GROUPES ELECTRO'!$E$66:$E$69</c:f>
              <c:numCache>
                <c:formatCode>General</c:formatCode>
                <c:ptCount val="4"/>
              </c:numCache>
            </c:numRef>
          </c:val>
          <c:extLst>
            <c:ext xmlns:c16="http://schemas.microsoft.com/office/drawing/2014/chart" uri="{C3380CC4-5D6E-409C-BE32-E72D297353CC}">
              <c16:uniqueId val="{00000008-A7A1-C644-B9FC-D34A556415E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6383030138474086"/>
          <c:y val="0.31014597168028279"/>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tx>
            <c:strRef>
              <c:f>'3- VEHICULES LEGERS'!$I$90</c:f>
              <c:strCache>
                <c:ptCount val="1"/>
                <c:pt idx="0">
                  <c:v>Nb de véhicule</c:v>
                </c:pt>
              </c:strCache>
            </c:strRef>
          </c:tx>
          <c:dPt>
            <c:idx val="0"/>
            <c:bubble3D val="0"/>
            <c:spPr>
              <a:solidFill>
                <a:schemeClr val="accent1"/>
              </a:solidFill>
            </c:spPr>
            <c:extLst>
              <c:ext xmlns:c16="http://schemas.microsoft.com/office/drawing/2014/chart" uri="{C3380CC4-5D6E-409C-BE32-E72D297353CC}">
                <c16:uniqueId val="{00000001-3A11-0245-8511-A4691BD5BAF2}"/>
              </c:ext>
            </c:extLst>
          </c:dPt>
          <c:dPt>
            <c:idx val="1"/>
            <c:bubble3D val="0"/>
            <c:spPr>
              <a:solidFill>
                <a:schemeClr val="accent2"/>
              </a:solidFill>
            </c:spPr>
            <c:extLst>
              <c:ext xmlns:c16="http://schemas.microsoft.com/office/drawing/2014/chart" uri="{C3380CC4-5D6E-409C-BE32-E72D297353CC}">
                <c16:uniqueId val="{00000003-3A11-0245-8511-A4691BD5BAF2}"/>
              </c:ext>
            </c:extLst>
          </c:dPt>
          <c:dPt>
            <c:idx val="2"/>
            <c:bubble3D val="0"/>
            <c:spPr>
              <a:solidFill>
                <a:schemeClr val="accent3"/>
              </a:solidFill>
            </c:spPr>
            <c:extLst>
              <c:ext xmlns:c16="http://schemas.microsoft.com/office/drawing/2014/chart" uri="{C3380CC4-5D6E-409C-BE32-E72D297353CC}">
                <c16:uniqueId val="{00000005-3A11-0245-8511-A4691BD5BAF2}"/>
              </c:ext>
            </c:extLst>
          </c:dPt>
          <c:dPt>
            <c:idx val="3"/>
            <c:bubble3D val="0"/>
            <c:spPr>
              <a:solidFill>
                <a:schemeClr val="accent4"/>
              </a:solidFill>
            </c:spPr>
            <c:extLst>
              <c:ext xmlns:c16="http://schemas.microsoft.com/office/drawing/2014/chart" uri="{C3380CC4-5D6E-409C-BE32-E72D297353CC}">
                <c16:uniqueId val="{00000007-3A11-0245-8511-A4691BD5BAF2}"/>
              </c:ext>
            </c:extLst>
          </c:dPt>
          <c:dPt>
            <c:idx val="4"/>
            <c:bubble3D val="0"/>
            <c:spPr>
              <a:solidFill>
                <a:schemeClr val="accent5"/>
              </a:solidFill>
            </c:spPr>
            <c:extLst>
              <c:ext xmlns:c16="http://schemas.microsoft.com/office/drawing/2014/chart" uri="{C3380CC4-5D6E-409C-BE32-E72D297353CC}">
                <c16:uniqueId val="{00000009-3A11-0245-8511-A4691BD5BAF2}"/>
              </c:ext>
            </c:extLst>
          </c:dPt>
          <c:dPt>
            <c:idx val="5"/>
            <c:bubble3D val="0"/>
            <c:spPr>
              <a:solidFill>
                <a:schemeClr val="accent6"/>
              </a:solidFill>
            </c:spPr>
            <c:extLst>
              <c:ext xmlns:c16="http://schemas.microsoft.com/office/drawing/2014/chart" uri="{C3380CC4-5D6E-409C-BE32-E72D297353CC}">
                <c16:uniqueId val="{0000000B-3A11-0245-8511-A4691BD5BAF2}"/>
              </c:ext>
            </c:extLst>
          </c:dPt>
          <c:dPt>
            <c:idx val="6"/>
            <c:bubble3D val="0"/>
            <c:spPr>
              <a:solidFill>
                <a:schemeClr val="accent1"/>
              </a:solidFill>
            </c:spPr>
            <c:extLst>
              <c:ext xmlns:c16="http://schemas.microsoft.com/office/drawing/2014/chart" uri="{C3380CC4-5D6E-409C-BE32-E72D297353CC}">
                <c16:uniqueId val="{0000000D-3A11-0245-8511-A4691BD5BAF2}"/>
              </c:ext>
            </c:extLst>
          </c:dPt>
          <c:dPt>
            <c:idx val="7"/>
            <c:bubble3D val="0"/>
            <c:spPr>
              <a:solidFill>
                <a:schemeClr val="accent2"/>
              </a:solidFill>
            </c:spPr>
            <c:extLst>
              <c:ext xmlns:c16="http://schemas.microsoft.com/office/drawing/2014/chart" uri="{C3380CC4-5D6E-409C-BE32-E72D297353CC}">
                <c16:uniqueId val="{0000000F-3A11-0245-8511-A4691BD5BAF2}"/>
              </c:ext>
            </c:extLst>
          </c:dPt>
          <c:dPt>
            <c:idx val="8"/>
            <c:bubble3D val="0"/>
            <c:spPr>
              <a:solidFill>
                <a:schemeClr val="accent3"/>
              </a:solidFill>
            </c:spPr>
            <c:extLst>
              <c:ext xmlns:c16="http://schemas.microsoft.com/office/drawing/2014/chart" uri="{C3380CC4-5D6E-409C-BE32-E72D297353CC}">
                <c16:uniqueId val="{00000011-3A11-0245-8511-A4691BD5BAF2}"/>
              </c:ext>
            </c:extLst>
          </c:dPt>
          <c:dPt>
            <c:idx val="9"/>
            <c:bubble3D val="0"/>
            <c:spPr>
              <a:solidFill>
                <a:schemeClr val="accent4"/>
              </a:solidFill>
            </c:spPr>
            <c:extLst>
              <c:ext xmlns:c16="http://schemas.microsoft.com/office/drawing/2014/chart" uri="{C3380CC4-5D6E-409C-BE32-E72D297353CC}">
                <c16:uniqueId val="{00000013-3A11-0245-8511-A4691BD5BAF2}"/>
              </c:ext>
            </c:extLst>
          </c:dPt>
          <c:dLbls>
            <c:dLbl>
              <c:idx val="0"/>
              <c:spPr/>
              <c:txPr>
                <a:bodyPr/>
                <a:lstStyle/>
                <a:p>
                  <a:pPr lvl="0">
                    <a:defRPr sz="1000" b="1" i="0">
                      <a:solidFill>
                        <a:srgbClr val="4472C4"/>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1-3A11-0245-8511-A4691BD5BAF2}"/>
                </c:ext>
              </c:extLst>
            </c:dLbl>
            <c:dLbl>
              <c:idx val="1"/>
              <c:spPr/>
              <c:txPr>
                <a:bodyPr/>
                <a:lstStyle/>
                <a:p>
                  <a:pPr lvl="0">
                    <a:defRPr sz="1000" b="1" i="0">
                      <a:solidFill>
                        <a:srgbClr val="ED7D31"/>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3-3A11-0245-8511-A4691BD5BAF2}"/>
                </c:ext>
              </c:extLst>
            </c:dLbl>
            <c:dLbl>
              <c:idx val="2"/>
              <c:spPr/>
              <c:txPr>
                <a:bodyPr/>
                <a:lstStyle/>
                <a:p>
                  <a:pPr lvl="0">
                    <a:defRPr sz="1000" b="1" i="0">
                      <a:solidFill>
                        <a:srgbClr val="A5A5A5"/>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5-3A11-0245-8511-A4691BD5BAF2}"/>
                </c:ext>
              </c:extLst>
            </c:dLbl>
            <c:dLbl>
              <c:idx val="3"/>
              <c:spPr/>
              <c:txPr>
                <a:bodyPr/>
                <a:lstStyle/>
                <a:p>
                  <a:pPr lvl="0">
                    <a:defRPr sz="1000" b="1" i="0">
                      <a:solidFill>
                        <a:srgbClr val="FFC000"/>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7-3A11-0245-8511-A4691BD5BAF2}"/>
                </c:ext>
              </c:extLst>
            </c:dLbl>
            <c:dLbl>
              <c:idx val="4"/>
              <c:spPr/>
              <c:txPr>
                <a:bodyPr/>
                <a:lstStyle/>
                <a:p>
                  <a:pPr lvl="0">
                    <a:defRPr sz="1000" b="1" i="0">
                      <a:solidFill>
                        <a:srgbClr val="5B9BD5"/>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9-3A11-0245-8511-A4691BD5BAF2}"/>
                </c:ext>
              </c:extLst>
            </c:dLbl>
            <c:dLbl>
              <c:idx val="5"/>
              <c:spPr/>
              <c:txPr>
                <a:bodyPr/>
                <a:lstStyle/>
                <a:p>
                  <a:pPr lvl="0">
                    <a:defRPr sz="1000" b="1" i="0">
                      <a:solidFill>
                        <a:srgbClr val="70AD47"/>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B-3A11-0245-8511-A4691BD5BAF2}"/>
                </c:ext>
              </c:extLst>
            </c:dLbl>
            <c:dLbl>
              <c:idx val="6"/>
              <c:spPr/>
              <c:txPr>
                <a:bodyPr/>
                <a:lstStyle/>
                <a:p>
                  <a:pPr lvl="0">
                    <a:defRPr sz="1000" b="1" i="0">
                      <a:solidFill>
                        <a:srgbClr val="4472C4"/>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D-3A11-0245-8511-A4691BD5BAF2}"/>
                </c:ext>
              </c:extLst>
            </c:dLbl>
            <c:dLbl>
              <c:idx val="7"/>
              <c:spPr/>
              <c:txPr>
                <a:bodyPr/>
                <a:lstStyle/>
                <a:p>
                  <a:pPr lvl="0">
                    <a:defRPr sz="1000" b="1" i="0">
                      <a:solidFill>
                        <a:srgbClr val="ED7D31"/>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F-3A11-0245-8511-A4691BD5BAF2}"/>
                </c:ext>
              </c:extLst>
            </c:dLbl>
            <c:dLbl>
              <c:idx val="8"/>
              <c:spPr/>
              <c:txPr>
                <a:bodyPr/>
                <a:lstStyle/>
                <a:p>
                  <a:pPr lvl="0">
                    <a:defRPr sz="1000" b="1" i="0">
                      <a:solidFill>
                        <a:srgbClr val="A5A5A5"/>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11-3A11-0245-8511-A4691BD5BAF2}"/>
                </c:ext>
              </c:extLst>
            </c:dLbl>
            <c:dLbl>
              <c:idx val="9"/>
              <c:spPr/>
              <c:txPr>
                <a:bodyPr/>
                <a:lstStyle/>
                <a:p>
                  <a:pPr lvl="0">
                    <a:defRPr sz="1000" b="1" i="0">
                      <a:solidFill>
                        <a:srgbClr val="FFC000"/>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13-3A11-0245-8511-A4691BD5BAF2}"/>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LEGERS'!$G$91:$G$100</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LEGERS'!$I$91:$I$100</c:f>
              <c:numCache>
                <c:formatCode>General</c:formatCode>
                <c:ptCount val="10"/>
                <c:pt idx="0">
                  <c:v>0</c:v>
                </c:pt>
                <c:pt idx="1">
                  <c:v>1</c:v>
                </c:pt>
                <c:pt idx="2">
                  <c:v>0</c:v>
                </c:pt>
                <c:pt idx="3">
                  <c:v>0</c:v>
                </c:pt>
                <c:pt idx="4">
                  <c:v>1</c:v>
                </c:pt>
                <c:pt idx="5">
                  <c:v>0</c:v>
                </c:pt>
                <c:pt idx="6">
                  <c:v>0</c:v>
                </c:pt>
                <c:pt idx="7">
                  <c:v>0</c:v>
                </c:pt>
                <c:pt idx="8">
                  <c:v>1</c:v>
                </c:pt>
                <c:pt idx="9">
                  <c:v>0</c:v>
                </c:pt>
              </c:numCache>
            </c:numRef>
          </c:val>
          <c:extLst>
            <c:ext xmlns:c16="http://schemas.microsoft.com/office/drawing/2014/chart" uri="{C3380CC4-5D6E-409C-BE32-E72D297353CC}">
              <c16:uniqueId val="{00000014-3A11-0245-8511-A4691BD5BAF2}"/>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sz="1800" b="1" i="0">
                <a:solidFill>
                  <a:schemeClr val="dk1"/>
                </a:solidFill>
                <a:latin typeface="+mn-lt"/>
              </a:rPr>
              <a:t>NB DE GROUPES SUR LA TOTALITÉ DE LA PRODUCT°</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F079-DB4B-BC24-7CAC4AD6D82A}"/>
              </c:ext>
            </c:extLst>
          </c:dPt>
          <c:dPt>
            <c:idx val="1"/>
            <c:bubble3D val="0"/>
            <c:spPr>
              <a:solidFill>
                <a:schemeClr val="accent2"/>
              </a:solidFill>
            </c:spPr>
            <c:extLst>
              <c:ext xmlns:c16="http://schemas.microsoft.com/office/drawing/2014/chart" uri="{C3380CC4-5D6E-409C-BE32-E72D297353CC}">
                <c16:uniqueId val="{00000003-F079-DB4B-BC24-7CAC4AD6D82A}"/>
              </c:ext>
            </c:extLst>
          </c:dPt>
          <c:dPt>
            <c:idx val="2"/>
            <c:bubble3D val="0"/>
            <c:spPr>
              <a:solidFill>
                <a:schemeClr val="accent3"/>
              </a:solidFill>
            </c:spPr>
            <c:extLst>
              <c:ext xmlns:c16="http://schemas.microsoft.com/office/drawing/2014/chart" uri="{C3380CC4-5D6E-409C-BE32-E72D297353CC}">
                <c16:uniqueId val="{00000005-F079-DB4B-BC24-7CAC4AD6D82A}"/>
              </c:ext>
            </c:extLst>
          </c:dPt>
          <c:dPt>
            <c:idx val="3"/>
            <c:bubble3D val="0"/>
            <c:spPr>
              <a:solidFill>
                <a:schemeClr val="accent4"/>
              </a:solidFill>
            </c:spPr>
            <c:extLst>
              <c:ext xmlns:c16="http://schemas.microsoft.com/office/drawing/2014/chart" uri="{C3380CC4-5D6E-409C-BE32-E72D297353CC}">
                <c16:uniqueId val="{00000007-F079-DB4B-BC24-7CAC4AD6D82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'14- GROUPES ELECTRO'!$D$66:$D$69</c:f>
              <c:strCache>
                <c:ptCount val="4"/>
                <c:pt idx="0">
                  <c:v>Camion groupe</c:v>
                </c:pt>
                <c:pt idx="1">
                  <c:v>Groupe mobile</c:v>
                </c:pt>
                <c:pt idx="2">
                  <c:v>Petit groupe de chantier</c:v>
                </c:pt>
                <c:pt idx="3">
                  <c:v>Générateur à batterie 10kWh</c:v>
                </c:pt>
              </c:strCache>
            </c:strRef>
          </c:cat>
          <c:val>
            <c:numRef>
              <c:f>'14- GROUPES ELECTRO'!$E$66:$E$69</c:f>
              <c:numCache>
                <c:formatCode>General</c:formatCode>
                <c:ptCount val="4"/>
              </c:numCache>
            </c:numRef>
          </c:val>
          <c:extLst>
            <c:ext xmlns:c16="http://schemas.microsoft.com/office/drawing/2014/chart" uri="{C3380CC4-5D6E-409C-BE32-E72D297353CC}">
              <c16:uniqueId val="{00000008-F079-DB4B-BC24-7CAC4AD6D82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4417988378000635"/>
          <c:y val="0.4238488780451739"/>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sz="1800" b="1" i="0">
                <a:solidFill>
                  <a:schemeClr val="dk1"/>
                </a:solidFill>
                <a:latin typeface="+mn-lt"/>
              </a:rPr>
              <a:t>Répartition des rendus et calculs informatiques</a:t>
            </a:r>
          </a:p>
        </c:rich>
      </c:tx>
      <c:overlay val="0"/>
    </c:title>
    <c:autoTitleDeleted val="0"/>
    <c:plotArea>
      <c:layout/>
      <c:pieChart>
        <c:varyColors val="1"/>
        <c:ser>
          <c:idx val="0"/>
          <c:order val="0"/>
          <c:dPt>
            <c:idx val="0"/>
            <c:bubble3D val="0"/>
            <c:spPr>
              <a:solidFill>
                <a:srgbClr val="A9C7E9"/>
              </a:solidFill>
            </c:spPr>
            <c:extLst>
              <c:ext xmlns:c16="http://schemas.microsoft.com/office/drawing/2014/chart" uri="{C3380CC4-5D6E-409C-BE32-E72D297353CC}">
                <c16:uniqueId val="{00000001-9D69-DF4F-8E26-AF7522BFB058}"/>
              </c:ext>
            </c:extLst>
          </c:dPt>
          <c:dPt>
            <c:idx val="1"/>
            <c:bubble3D val="0"/>
            <c:spPr>
              <a:solidFill>
                <a:srgbClr val="F7C39F"/>
              </a:solidFill>
            </c:spPr>
            <c:extLst>
              <c:ext xmlns:c16="http://schemas.microsoft.com/office/drawing/2014/chart" uri="{C3380CC4-5D6E-409C-BE32-E72D297353CC}">
                <c16:uniqueId val="{00000003-9D69-DF4F-8E26-AF7522BFB058}"/>
              </c:ext>
            </c:extLst>
          </c:dPt>
          <c:dPt>
            <c:idx val="2"/>
            <c:bubble3D val="0"/>
            <c:spPr>
              <a:solidFill>
                <a:srgbClr val="D3E7C7"/>
              </a:solidFill>
            </c:spPr>
            <c:extLst>
              <c:ext xmlns:c16="http://schemas.microsoft.com/office/drawing/2014/chart" uri="{C3380CC4-5D6E-409C-BE32-E72D297353CC}">
                <c16:uniqueId val="{00000005-9D69-DF4F-8E26-AF7522BFB058}"/>
              </c:ext>
            </c:extLst>
          </c:dPt>
          <c:dPt>
            <c:idx val="3"/>
            <c:bubble3D val="0"/>
            <c:spPr>
              <a:solidFill>
                <a:srgbClr val="EBEA74"/>
              </a:solidFill>
            </c:spPr>
            <c:extLst>
              <c:ext xmlns:c16="http://schemas.microsoft.com/office/drawing/2014/chart" uri="{C3380CC4-5D6E-409C-BE32-E72D297353CC}">
                <c16:uniqueId val="{00000007-9D69-DF4F-8E26-AF7522BFB058}"/>
              </c:ext>
            </c:extLst>
          </c:dPt>
          <c:dPt>
            <c:idx val="4"/>
            <c:bubble3D val="0"/>
            <c:spPr>
              <a:solidFill>
                <a:schemeClr val="accent4"/>
              </a:solidFill>
            </c:spPr>
            <c:extLst>
              <c:ext xmlns:c16="http://schemas.microsoft.com/office/drawing/2014/chart" uri="{C3380CC4-5D6E-409C-BE32-E72D297353CC}">
                <c16:uniqueId val="{00000009-9D69-DF4F-8E26-AF7522BFB05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'15- DATA &amp; POST-PROD'!$G$65:$G$69</c:f>
              <c:strCache>
                <c:ptCount val="5"/>
                <c:pt idx="0">
                  <c:v>TOTAL Montage Vidéo</c:v>
                </c:pt>
                <c:pt idx="1">
                  <c:v>TOTAL Montage et mixage son</c:v>
                </c:pt>
                <c:pt idx="2">
                  <c:v>TOTAL VFX et Infographie</c:v>
                </c:pt>
                <c:pt idx="3">
                  <c:v>TOTAL Etalonnage</c:v>
                </c:pt>
                <c:pt idx="4">
                  <c:v>TOTAL Laboratoire</c:v>
                </c:pt>
              </c:strCache>
            </c:strRef>
          </c:cat>
          <c:val>
            <c:numRef>
              <c:f>'15- DATA &amp; POST-PROD'!$H$65:$H$69</c:f>
              <c:numCache>
                <c:formatCode>General</c:formatCode>
                <c:ptCount val="5"/>
              </c:numCache>
            </c:numRef>
          </c:val>
          <c:extLst>
            <c:ext xmlns:c16="http://schemas.microsoft.com/office/drawing/2014/chart" uri="{C3380CC4-5D6E-409C-BE32-E72D297353CC}">
              <c16:uniqueId val="{0000000A-9D69-DF4F-8E26-AF7522BFB058}"/>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Tournage</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4ACC-6143-879D-8CD75C686378}"/>
              </c:ext>
            </c:extLst>
          </c:dPt>
          <c:dPt>
            <c:idx val="1"/>
            <c:bubble3D val="0"/>
            <c:spPr>
              <a:solidFill>
                <a:schemeClr val="accent2"/>
              </a:solidFill>
            </c:spPr>
            <c:extLst>
              <c:ext xmlns:c16="http://schemas.microsoft.com/office/drawing/2014/chart" uri="{C3380CC4-5D6E-409C-BE32-E72D297353CC}">
                <c16:uniqueId val="{00000003-4ACC-6143-879D-8CD75C686378}"/>
              </c:ext>
            </c:extLst>
          </c:dPt>
          <c:dPt>
            <c:idx val="2"/>
            <c:bubble3D val="0"/>
            <c:spPr>
              <a:solidFill>
                <a:schemeClr val="accent3"/>
              </a:solidFill>
            </c:spPr>
            <c:extLst>
              <c:ext xmlns:c16="http://schemas.microsoft.com/office/drawing/2014/chart" uri="{C3380CC4-5D6E-409C-BE32-E72D297353CC}">
                <c16:uniqueId val="{00000005-4ACC-6143-879D-8CD75C686378}"/>
              </c:ext>
            </c:extLst>
          </c:dPt>
          <c:dPt>
            <c:idx val="3"/>
            <c:bubble3D val="0"/>
            <c:spPr>
              <a:solidFill>
                <a:schemeClr val="accent4"/>
              </a:solidFill>
            </c:spPr>
            <c:extLst>
              <c:ext xmlns:c16="http://schemas.microsoft.com/office/drawing/2014/chart" uri="{C3380CC4-5D6E-409C-BE32-E72D297353CC}">
                <c16:uniqueId val="{00000007-4ACC-6143-879D-8CD75C686378}"/>
              </c:ext>
            </c:extLst>
          </c:dPt>
          <c:dPt>
            <c:idx val="4"/>
            <c:bubble3D val="0"/>
            <c:spPr>
              <a:solidFill>
                <a:schemeClr val="accent5"/>
              </a:solidFill>
            </c:spPr>
            <c:extLst>
              <c:ext xmlns:c16="http://schemas.microsoft.com/office/drawing/2014/chart" uri="{C3380CC4-5D6E-409C-BE32-E72D297353CC}">
                <c16:uniqueId val="{00000009-4ACC-6143-879D-8CD75C686378}"/>
              </c:ext>
            </c:extLst>
          </c:dPt>
          <c:dPt>
            <c:idx val="5"/>
            <c:bubble3D val="0"/>
            <c:spPr>
              <a:solidFill>
                <a:schemeClr val="accent6"/>
              </a:solidFill>
            </c:spPr>
            <c:extLst>
              <c:ext xmlns:c16="http://schemas.microsoft.com/office/drawing/2014/chart" uri="{C3380CC4-5D6E-409C-BE32-E72D297353CC}">
                <c16:uniqueId val="{0000000B-4ACC-6143-879D-8CD75C686378}"/>
              </c:ext>
            </c:extLst>
          </c:dPt>
          <c:dPt>
            <c:idx val="6"/>
            <c:bubble3D val="0"/>
            <c:spPr>
              <a:solidFill>
                <a:schemeClr val="accent1"/>
              </a:solidFill>
            </c:spPr>
            <c:extLst>
              <c:ext xmlns:c16="http://schemas.microsoft.com/office/drawing/2014/chart" uri="{C3380CC4-5D6E-409C-BE32-E72D297353CC}">
                <c16:uniqueId val="{0000000D-4ACC-6143-879D-8CD75C686378}"/>
              </c:ext>
            </c:extLst>
          </c:dPt>
          <c:dPt>
            <c:idx val="7"/>
            <c:bubble3D val="0"/>
            <c:spPr>
              <a:solidFill>
                <a:schemeClr val="accent2"/>
              </a:solidFill>
            </c:spPr>
            <c:extLst>
              <c:ext xmlns:c16="http://schemas.microsoft.com/office/drawing/2014/chart" uri="{C3380CC4-5D6E-409C-BE32-E72D297353CC}">
                <c16:uniqueId val="{0000000F-4ACC-6143-879D-8CD75C686378}"/>
              </c:ext>
            </c:extLst>
          </c:dPt>
          <c:dPt>
            <c:idx val="8"/>
            <c:bubble3D val="0"/>
            <c:spPr>
              <a:solidFill>
                <a:schemeClr val="accent3"/>
              </a:solidFill>
            </c:spPr>
            <c:extLst>
              <c:ext xmlns:c16="http://schemas.microsoft.com/office/drawing/2014/chart" uri="{C3380CC4-5D6E-409C-BE32-E72D297353CC}">
                <c16:uniqueId val="{00000011-4ACC-6143-879D-8CD75C686378}"/>
              </c:ext>
            </c:extLst>
          </c:dPt>
          <c:dPt>
            <c:idx val="9"/>
            <c:bubble3D val="0"/>
            <c:spPr>
              <a:solidFill>
                <a:schemeClr val="accent4"/>
              </a:solidFill>
            </c:spPr>
            <c:extLst>
              <c:ext xmlns:c16="http://schemas.microsoft.com/office/drawing/2014/chart" uri="{C3380CC4-5D6E-409C-BE32-E72D297353CC}">
                <c16:uniqueId val="{00000013-4ACC-6143-879D-8CD75C68637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LEGERS'!$G$125:$G$134</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LEGERS'!$I$125:$I$134</c:f>
              <c:numCache>
                <c:formatCode>General</c:formatCode>
                <c:ptCount val="10"/>
                <c:pt idx="0">
                  <c:v>0</c:v>
                </c:pt>
                <c:pt idx="1">
                  <c:v>0</c:v>
                </c:pt>
                <c:pt idx="2">
                  <c:v>0</c:v>
                </c:pt>
                <c:pt idx="3">
                  <c:v>0</c:v>
                </c:pt>
                <c:pt idx="4">
                  <c:v>1000</c:v>
                </c:pt>
                <c:pt idx="5">
                  <c:v>0</c:v>
                </c:pt>
                <c:pt idx="6">
                  <c:v>0</c:v>
                </c:pt>
                <c:pt idx="7">
                  <c:v>0</c:v>
                </c:pt>
                <c:pt idx="8">
                  <c:v>0</c:v>
                </c:pt>
                <c:pt idx="9">
                  <c:v>0</c:v>
                </c:pt>
              </c:numCache>
            </c:numRef>
          </c:val>
          <c:extLst>
            <c:ext xmlns:c16="http://schemas.microsoft.com/office/drawing/2014/chart" uri="{C3380CC4-5D6E-409C-BE32-E72D297353CC}">
              <c16:uniqueId val="{00000014-4ACC-6143-879D-8CD75C686378}"/>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600" b="1" i="0">
                <a:solidFill>
                  <a:srgbClr val="757575"/>
                </a:solidFill>
                <a:latin typeface="+mn-lt"/>
              </a:defRPr>
            </a:pPr>
            <a:r>
              <a:rPr lang="fr-FR" sz="1600" b="1" i="0">
                <a:solidFill>
                  <a:srgbClr val="757575"/>
                </a:solidFill>
                <a:latin typeface="+mn-lt"/>
              </a:rPr>
              <a:t>RÉPARTITION DES VÉHICULES UTILISÉS</a:t>
            </a:r>
          </a:p>
        </c:rich>
      </c:tx>
      <c:overlay val="0"/>
    </c:title>
    <c:autoTitleDeleted val="0"/>
    <c:plotArea>
      <c:layout/>
      <c:pieChart>
        <c:varyColors val="1"/>
        <c:ser>
          <c:idx val="0"/>
          <c:order val="0"/>
          <c:tx>
            <c:strRef>
              <c:f>'3- VEHICULES LEGERS'!$I$90</c:f>
              <c:strCache>
                <c:ptCount val="1"/>
                <c:pt idx="0">
                  <c:v>Nb de véhicule</c:v>
                </c:pt>
              </c:strCache>
            </c:strRef>
          </c:tx>
          <c:dPt>
            <c:idx val="0"/>
            <c:bubble3D val="0"/>
            <c:spPr>
              <a:solidFill>
                <a:schemeClr val="accent1"/>
              </a:solidFill>
            </c:spPr>
            <c:extLst>
              <c:ext xmlns:c16="http://schemas.microsoft.com/office/drawing/2014/chart" uri="{C3380CC4-5D6E-409C-BE32-E72D297353CC}">
                <c16:uniqueId val="{00000001-8D55-0345-8633-301867703181}"/>
              </c:ext>
            </c:extLst>
          </c:dPt>
          <c:dPt>
            <c:idx val="1"/>
            <c:bubble3D val="0"/>
            <c:spPr>
              <a:solidFill>
                <a:schemeClr val="accent2"/>
              </a:solidFill>
            </c:spPr>
            <c:extLst>
              <c:ext xmlns:c16="http://schemas.microsoft.com/office/drawing/2014/chart" uri="{C3380CC4-5D6E-409C-BE32-E72D297353CC}">
                <c16:uniqueId val="{00000003-8D55-0345-8633-301867703181}"/>
              </c:ext>
            </c:extLst>
          </c:dPt>
          <c:dPt>
            <c:idx val="2"/>
            <c:bubble3D val="0"/>
            <c:spPr>
              <a:solidFill>
                <a:schemeClr val="accent3"/>
              </a:solidFill>
            </c:spPr>
            <c:extLst>
              <c:ext xmlns:c16="http://schemas.microsoft.com/office/drawing/2014/chart" uri="{C3380CC4-5D6E-409C-BE32-E72D297353CC}">
                <c16:uniqueId val="{00000005-8D55-0345-8633-301867703181}"/>
              </c:ext>
            </c:extLst>
          </c:dPt>
          <c:dPt>
            <c:idx val="3"/>
            <c:bubble3D val="0"/>
            <c:spPr>
              <a:solidFill>
                <a:schemeClr val="accent4"/>
              </a:solidFill>
            </c:spPr>
            <c:extLst>
              <c:ext xmlns:c16="http://schemas.microsoft.com/office/drawing/2014/chart" uri="{C3380CC4-5D6E-409C-BE32-E72D297353CC}">
                <c16:uniqueId val="{00000007-8D55-0345-8633-301867703181}"/>
              </c:ext>
            </c:extLst>
          </c:dPt>
          <c:dPt>
            <c:idx val="4"/>
            <c:bubble3D val="0"/>
            <c:spPr>
              <a:solidFill>
                <a:schemeClr val="accent5"/>
              </a:solidFill>
            </c:spPr>
            <c:extLst>
              <c:ext xmlns:c16="http://schemas.microsoft.com/office/drawing/2014/chart" uri="{C3380CC4-5D6E-409C-BE32-E72D297353CC}">
                <c16:uniqueId val="{00000009-8D55-0345-8633-301867703181}"/>
              </c:ext>
            </c:extLst>
          </c:dPt>
          <c:dPt>
            <c:idx val="5"/>
            <c:bubble3D val="0"/>
            <c:spPr>
              <a:solidFill>
                <a:schemeClr val="accent6"/>
              </a:solidFill>
            </c:spPr>
            <c:extLst>
              <c:ext xmlns:c16="http://schemas.microsoft.com/office/drawing/2014/chart" uri="{C3380CC4-5D6E-409C-BE32-E72D297353CC}">
                <c16:uniqueId val="{0000000B-8D55-0345-8633-301867703181}"/>
              </c:ext>
            </c:extLst>
          </c:dPt>
          <c:dPt>
            <c:idx val="6"/>
            <c:bubble3D val="0"/>
            <c:spPr>
              <a:solidFill>
                <a:schemeClr val="accent1"/>
              </a:solidFill>
            </c:spPr>
            <c:extLst>
              <c:ext xmlns:c16="http://schemas.microsoft.com/office/drawing/2014/chart" uri="{C3380CC4-5D6E-409C-BE32-E72D297353CC}">
                <c16:uniqueId val="{0000000D-8D55-0345-8633-301867703181}"/>
              </c:ext>
            </c:extLst>
          </c:dPt>
          <c:dPt>
            <c:idx val="7"/>
            <c:bubble3D val="0"/>
            <c:spPr>
              <a:solidFill>
                <a:schemeClr val="accent2"/>
              </a:solidFill>
            </c:spPr>
            <c:extLst>
              <c:ext xmlns:c16="http://schemas.microsoft.com/office/drawing/2014/chart" uri="{C3380CC4-5D6E-409C-BE32-E72D297353CC}">
                <c16:uniqueId val="{0000000F-8D55-0345-8633-301867703181}"/>
              </c:ext>
            </c:extLst>
          </c:dPt>
          <c:dPt>
            <c:idx val="8"/>
            <c:bubble3D val="0"/>
            <c:spPr>
              <a:solidFill>
                <a:schemeClr val="accent3"/>
              </a:solidFill>
            </c:spPr>
            <c:extLst>
              <c:ext xmlns:c16="http://schemas.microsoft.com/office/drawing/2014/chart" uri="{C3380CC4-5D6E-409C-BE32-E72D297353CC}">
                <c16:uniqueId val="{00000011-8D55-0345-8633-301867703181}"/>
              </c:ext>
            </c:extLst>
          </c:dPt>
          <c:dPt>
            <c:idx val="9"/>
            <c:bubble3D val="0"/>
            <c:spPr>
              <a:solidFill>
                <a:schemeClr val="accent4"/>
              </a:solidFill>
            </c:spPr>
            <c:extLst>
              <c:ext xmlns:c16="http://schemas.microsoft.com/office/drawing/2014/chart" uri="{C3380CC4-5D6E-409C-BE32-E72D297353CC}">
                <c16:uniqueId val="{00000013-8D55-0345-8633-301867703181}"/>
              </c:ext>
            </c:extLst>
          </c:dPt>
          <c:dLbls>
            <c:dLbl>
              <c:idx val="0"/>
              <c:spPr/>
              <c:txPr>
                <a:bodyPr/>
                <a:lstStyle/>
                <a:p>
                  <a:pPr lvl="0">
                    <a:defRPr sz="1000" b="1" i="0">
                      <a:solidFill>
                        <a:srgbClr val="4472C4"/>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1-8D55-0345-8633-301867703181}"/>
                </c:ext>
              </c:extLst>
            </c:dLbl>
            <c:dLbl>
              <c:idx val="1"/>
              <c:spPr/>
              <c:txPr>
                <a:bodyPr/>
                <a:lstStyle/>
                <a:p>
                  <a:pPr lvl="0">
                    <a:defRPr sz="1000" b="1" i="0">
                      <a:solidFill>
                        <a:srgbClr val="ED7D31"/>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3-8D55-0345-8633-301867703181}"/>
                </c:ext>
              </c:extLst>
            </c:dLbl>
            <c:dLbl>
              <c:idx val="2"/>
              <c:spPr/>
              <c:txPr>
                <a:bodyPr/>
                <a:lstStyle/>
                <a:p>
                  <a:pPr lvl="0">
                    <a:defRPr sz="1000" b="1" i="0">
                      <a:solidFill>
                        <a:srgbClr val="A5A5A5"/>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5-8D55-0345-8633-301867703181}"/>
                </c:ext>
              </c:extLst>
            </c:dLbl>
            <c:dLbl>
              <c:idx val="3"/>
              <c:spPr/>
              <c:txPr>
                <a:bodyPr/>
                <a:lstStyle/>
                <a:p>
                  <a:pPr lvl="0">
                    <a:defRPr sz="1000" b="1" i="0">
                      <a:solidFill>
                        <a:srgbClr val="FFC000"/>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7-8D55-0345-8633-301867703181}"/>
                </c:ext>
              </c:extLst>
            </c:dLbl>
            <c:dLbl>
              <c:idx val="4"/>
              <c:spPr/>
              <c:txPr>
                <a:bodyPr/>
                <a:lstStyle/>
                <a:p>
                  <a:pPr lvl="0">
                    <a:defRPr sz="1000" b="1" i="0">
                      <a:solidFill>
                        <a:srgbClr val="5B9BD5"/>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9-8D55-0345-8633-301867703181}"/>
                </c:ext>
              </c:extLst>
            </c:dLbl>
            <c:dLbl>
              <c:idx val="5"/>
              <c:spPr/>
              <c:txPr>
                <a:bodyPr/>
                <a:lstStyle/>
                <a:p>
                  <a:pPr lvl="0">
                    <a:defRPr sz="1000" b="1" i="0">
                      <a:solidFill>
                        <a:srgbClr val="70AD47"/>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B-8D55-0345-8633-301867703181}"/>
                </c:ext>
              </c:extLst>
            </c:dLbl>
            <c:dLbl>
              <c:idx val="6"/>
              <c:spPr/>
              <c:txPr>
                <a:bodyPr/>
                <a:lstStyle/>
                <a:p>
                  <a:pPr lvl="0">
                    <a:defRPr sz="1000" b="1" i="0">
                      <a:solidFill>
                        <a:srgbClr val="4472C4"/>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D-8D55-0345-8633-301867703181}"/>
                </c:ext>
              </c:extLst>
            </c:dLbl>
            <c:dLbl>
              <c:idx val="7"/>
              <c:spPr/>
              <c:txPr>
                <a:bodyPr/>
                <a:lstStyle/>
                <a:p>
                  <a:pPr lvl="0">
                    <a:defRPr sz="1000" b="1" i="0">
                      <a:solidFill>
                        <a:srgbClr val="ED7D31"/>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0F-8D55-0345-8633-301867703181}"/>
                </c:ext>
              </c:extLst>
            </c:dLbl>
            <c:dLbl>
              <c:idx val="8"/>
              <c:spPr/>
              <c:txPr>
                <a:bodyPr/>
                <a:lstStyle/>
                <a:p>
                  <a:pPr lvl="0">
                    <a:defRPr sz="1000" b="1" i="0">
                      <a:solidFill>
                        <a:srgbClr val="A5A5A5"/>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11-8D55-0345-8633-301867703181}"/>
                </c:ext>
              </c:extLst>
            </c:dLbl>
            <c:dLbl>
              <c:idx val="9"/>
              <c:spPr/>
              <c:txPr>
                <a:bodyPr/>
                <a:lstStyle/>
                <a:p>
                  <a:pPr lvl="0">
                    <a:defRPr sz="1000" b="1" i="0">
                      <a:solidFill>
                        <a:srgbClr val="FFC000"/>
                      </a:solidFill>
                      <a:latin typeface="+mn-lt"/>
                    </a:defRPr>
                  </a:pPr>
                  <a:endParaRPr lang="fr-FR"/>
                </a:p>
              </c:txPr>
              <c:showLegendKey val="0"/>
              <c:showVal val="0"/>
              <c:showCatName val="0"/>
              <c:showSerName val="0"/>
              <c:showPercent val="1"/>
              <c:showBubbleSize val="0"/>
              <c:extLst>
                <c:ext xmlns:c16="http://schemas.microsoft.com/office/drawing/2014/chart" uri="{C3380CC4-5D6E-409C-BE32-E72D297353CC}">
                  <c16:uniqueId val="{00000013-8D55-0345-8633-301867703181}"/>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LEGERS'!$G$91:$G$100</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LEGERS'!$I$91:$I$100</c:f>
              <c:numCache>
                <c:formatCode>General</c:formatCode>
                <c:ptCount val="10"/>
                <c:pt idx="0">
                  <c:v>0</c:v>
                </c:pt>
                <c:pt idx="1">
                  <c:v>1</c:v>
                </c:pt>
                <c:pt idx="2">
                  <c:v>0</c:v>
                </c:pt>
                <c:pt idx="3">
                  <c:v>0</c:v>
                </c:pt>
                <c:pt idx="4">
                  <c:v>1</c:v>
                </c:pt>
                <c:pt idx="5">
                  <c:v>0</c:v>
                </c:pt>
                <c:pt idx="6">
                  <c:v>0</c:v>
                </c:pt>
                <c:pt idx="7">
                  <c:v>0</c:v>
                </c:pt>
                <c:pt idx="8">
                  <c:v>1</c:v>
                </c:pt>
                <c:pt idx="9">
                  <c:v>0</c:v>
                </c:pt>
              </c:numCache>
            </c:numRef>
          </c:val>
          <c:extLst>
            <c:ext xmlns:c16="http://schemas.microsoft.com/office/drawing/2014/chart" uri="{C3380CC4-5D6E-409C-BE32-E72D297353CC}">
              <c16:uniqueId val="{00000014-8D55-0345-8633-301867703181}"/>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NB DE KM PAR VEHICULES</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C447-8D4D-A944-0AD4F071EAB6}"/>
              </c:ext>
            </c:extLst>
          </c:dPt>
          <c:dPt>
            <c:idx val="1"/>
            <c:bubble3D val="0"/>
            <c:spPr>
              <a:solidFill>
                <a:schemeClr val="accent2"/>
              </a:solidFill>
            </c:spPr>
            <c:extLst>
              <c:ext xmlns:c16="http://schemas.microsoft.com/office/drawing/2014/chart" uri="{C3380CC4-5D6E-409C-BE32-E72D297353CC}">
                <c16:uniqueId val="{00000003-C447-8D4D-A944-0AD4F071EAB6}"/>
              </c:ext>
            </c:extLst>
          </c:dPt>
          <c:dPt>
            <c:idx val="2"/>
            <c:bubble3D val="0"/>
            <c:spPr>
              <a:solidFill>
                <a:schemeClr val="accent3"/>
              </a:solidFill>
            </c:spPr>
            <c:extLst>
              <c:ext xmlns:c16="http://schemas.microsoft.com/office/drawing/2014/chart" uri="{C3380CC4-5D6E-409C-BE32-E72D297353CC}">
                <c16:uniqueId val="{00000005-C447-8D4D-A944-0AD4F071EAB6}"/>
              </c:ext>
            </c:extLst>
          </c:dPt>
          <c:dPt>
            <c:idx val="3"/>
            <c:bubble3D val="0"/>
            <c:spPr>
              <a:solidFill>
                <a:schemeClr val="accent4"/>
              </a:solidFill>
            </c:spPr>
            <c:extLst>
              <c:ext xmlns:c16="http://schemas.microsoft.com/office/drawing/2014/chart" uri="{C3380CC4-5D6E-409C-BE32-E72D297353CC}">
                <c16:uniqueId val="{00000007-C447-8D4D-A944-0AD4F071EAB6}"/>
              </c:ext>
            </c:extLst>
          </c:dPt>
          <c:dPt>
            <c:idx val="4"/>
            <c:bubble3D val="0"/>
            <c:spPr>
              <a:solidFill>
                <a:schemeClr val="accent5"/>
              </a:solidFill>
            </c:spPr>
            <c:extLst>
              <c:ext xmlns:c16="http://schemas.microsoft.com/office/drawing/2014/chart" uri="{C3380CC4-5D6E-409C-BE32-E72D297353CC}">
                <c16:uniqueId val="{00000009-C447-8D4D-A944-0AD4F071EAB6}"/>
              </c:ext>
            </c:extLst>
          </c:dPt>
          <c:dPt>
            <c:idx val="5"/>
            <c:bubble3D val="0"/>
            <c:spPr>
              <a:solidFill>
                <a:schemeClr val="accent6"/>
              </a:solidFill>
            </c:spPr>
            <c:extLst>
              <c:ext xmlns:c16="http://schemas.microsoft.com/office/drawing/2014/chart" uri="{C3380CC4-5D6E-409C-BE32-E72D297353CC}">
                <c16:uniqueId val="{0000000B-C447-8D4D-A944-0AD4F071EAB6}"/>
              </c:ext>
            </c:extLst>
          </c:dPt>
          <c:dPt>
            <c:idx val="6"/>
            <c:bubble3D val="0"/>
            <c:spPr>
              <a:solidFill>
                <a:schemeClr val="accent1"/>
              </a:solidFill>
            </c:spPr>
            <c:extLst>
              <c:ext xmlns:c16="http://schemas.microsoft.com/office/drawing/2014/chart" uri="{C3380CC4-5D6E-409C-BE32-E72D297353CC}">
                <c16:uniqueId val="{0000000D-C447-8D4D-A944-0AD4F071EAB6}"/>
              </c:ext>
            </c:extLst>
          </c:dPt>
          <c:dPt>
            <c:idx val="7"/>
            <c:bubble3D val="0"/>
            <c:spPr>
              <a:solidFill>
                <a:schemeClr val="accent2"/>
              </a:solidFill>
            </c:spPr>
            <c:extLst>
              <c:ext xmlns:c16="http://schemas.microsoft.com/office/drawing/2014/chart" uri="{C3380CC4-5D6E-409C-BE32-E72D297353CC}">
                <c16:uniqueId val="{0000000F-C447-8D4D-A944-0AD4F071EAB6}"/>
              </c:ext>
            </c:extLst>
          </c:dPt>
          <c:dPt>
            <c:idx val="8"/>
            <c:bubble3D val="0"/>
            <c:spPr>
              <a:solidFill>
                <a:schemeClr val="accent3"/>
              </a:solidFill>
            </c:spPr>
            <c:extLst>
              <c:ext xmlns:c16="http://schemas.microsoft.com/office/drawing/2014/chart" uri="{C3380CC4-5D6E-409C-BE32-E72D297353CC}">
                <c16:uniqueId val="{00000011-C447-8D4D-A944-0AD4F071EAB6}"/>
              </c:ext>
            </c:extLst>
          </c:dPt>
          <c:dPt>
            <c:idx val="9"/>
            <c:bubble3D val="0"/>
            <c:spPr>
              <a:solidFill>
                <a:schemeClr val="accent4"/>
              </a:solidFill>
            </c:spPr>
            <c:extLst>
              <c:ext xmlns:c16="http://schemas.microsoft.com/office/drawing/2014/chart" uri="{C3380CC4-5D6E-409C-BE32-E72D297353CC}">
                <c16:uniqueId val="{00000013-C447-8D4D-A944-0AD4F071EAB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LEGERS'!$G$110:$G$119</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LEGERS'!$I$110:$I$119</c:f>
              <c:numCache>
                <c:formatCode>General</c:formatCode>
                <c:ptCount val="10"/>
                <c:pt idx="0">
                  <c:v>0</c:v>
                </c:pt>
                <c:pt idx="1">
                  <c:v>2500</c:v>
                </c:pt>
                <c:pt idx="2">
                  <c:v>0</c:v>
                </c:pt>
                <c:pt idx="3">
                  <c:v>0</c:v>
                </c:pt>
                <c:pt idx="4">
                  <c:v>1000</c:v>
                </c:pt>
                <c:pt idx="5">
                  <c:v>0</c:v>
                </c:pt>
                <c:pt idx="6">
                  <c:v>0</c:v>
                </c:pt>
                <c:pt idx="7">
                  <c:v>0</c:v>
                </c:pt>
                <c:pt idx="8">
                  <c:v>100</c:v>
                </c:pt>
                <c:pt idx="9">
                  <c:v>0</c:v>
                </c:pt>
              </c:numCache>
            </c:numRef>
          </c:val>
          <c:extLst>
            <c:ext xmlns:c16="http://schemas.microsoft.com/office/drawing/2014/chart" uri="{C3380CC4-5D6E-409C-BE32-E72D297353CC}">
              <c16:uniqueId val="{00000014-C447-8D4D-A944-0AD4F071EAB6}"/>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Prépa</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66C8-BA4D-8BB4-9F0FAAC5B468}"/>
              </c:ext>
            </c:extLst>
          </c:dPt>
          <c:dPt>
            <c:idx val="1"/>
            <c:bubble3D val="0"/>
            <c:spPr>
              <a:solidFill>
                <a:schemeClr val="accent2"/>
              </a:solidFill>
            </c:spPr>
            <c:extLst>
              <c:ext xmlns:c16="http://schemas.microsoft.com/office/drawing/2014/chart" uri="{C3380CC4-5D6E-409C-BE32-E72D297353CC}">
                <c16:uniqueId val="{00000003-66C8-BA4D-8BB4-9F0FAAC5B468}"/>
              </c:ext>
            </c:extLst>
          </c:dPt>
          <c:dPt>
            <c:idx val="2"/>
            <c:bubble3D val="0"/>
            <c:spPr>
              <a:solidFill>
                <a:schemeClr val="accent3"/>
              </a:solidFill>
            </c:spPr>
            <c:extLst>
              <c:ext xmlns:c16="http://schemas.microsoft.com/office/drawing/2014/chart" uri="{C3380CC4-5D6E-409C-BE32-E72D297353CC}">
                <c16:uniqueId val="{00000005-66C8-BA4D-8BB4-9F0FAAC5B468}"/>
              </c:ext>
            </c:extLst>
          </c:dPt>
          <c:dPt>
            <c:idx val="3"/>
            <c:bubble3D val="0"/>
            <c:spPr>
              <a:solidFill>
                <a:schemeClr val="accent4"/>
              </a:solidFill>
            </c:spPr>
            <c:extLst>
              <c:ext xmlns:c16="http://schemas.microsoft.com/office/drawing/2014/chart" uri="{C3380CC4-5D6E-409C-BE32-E72D297353CC}">
                <c16:uniqueId val="{00000007-66C8-BA4D-8BB4-9F0FAAC5B468}"/>
              </c:ext>
            </c:extLst>
          </c:dPt>
          <c:dPt>
            <c:idx val="4"/>
            <c:bubble3D val="0"/>
            <c:spPr>
              <a:solidFill>
                <a:schemeClr val="accent5"/>
              </a:solidFill>
            </c:spPr>
            <c:extLst>
              <c:ext xmlns:c16="http://schemas.microsoft.com/office/drawing/2014/chart" uri="{C3380CC4-5D6E-409C-BE32-E72D297353CC}">
                <c16:uniqueId val="{00000009-66C8-BA4D-8BB4-9F0FAAC5B468}"/>
              </c:ext>
            </c:extLst>
          </c:dPt>
          <c:dPt>
            <c:idx val="5"/>
            <c:bubble3D val="0"/>
            <c:spPr>
              <a:solidFill>
                <a:schemeClr val="accent6"/>
              </a:solidFill>
            </c:spPr>
            <c:extLst>
              <c:ext xmlns:c16="http://schemas.microsoft.com/office/drawing/2014/chart" uri="{C3380CC4-5D6E-409C-BE32-E72D297353CC}">
                <c16:uniqueId val="{0000000B-66C8-BA4D-8BB4-9F0FAAC5B468}"/>
              </c:ext>
            </c:extLst>
          </c:dPt>
          <c:dPt>
            <c:idx val="6"/>
            <c:bubble3D val="0"/>
            <c:spPr>
              <a:solidFill>
                <a:schemeClr val="accent1"/>
              </a:solidFill>
            </c:spPr>
            <c:extLst>
              <c:ext xmlns:c16="http://schemas.microsoft.com/office/drawing/2014/chart" uri="{C3380CC4-5D6E-409C-BE32-E72D297353CC}">
                <c16:uniqueId val="{0000000D-66C8-BA4D-8BB4-9F0FAAC5B468}"/>
              </c:ext>
            </c:extLst>
          </c:dPt>
          <c:dPt>
            <c:idx val="7"/>
            <c:bubble3D val="0"/>
            <c:spPr>
              <a:solidFill>
                <a:schemeClr val="accent2"/>
              </a:solidFill>
            </c:spPr>
            <c:extLst>
              <c:ext xmlns:c16="http://schemas.microsoft.com/office/drawing/2014/chart" uri="{C3380CC4-5D6E-409C-BE32-E72D297353CC}">
                <c16:uniqueId val="{0000000F-66C8-BA4D-8BB4-9F0FAAC5B468}"/>
              </c:ext>
            </c:extLst>
          </c:dPt>
          <c:dPt>
            <c:idx val="8"/>
            <c:bubble3D val="0"/>
            <c:spPr>
              <a:solidFill>
                <a:schemeClr val="accent3"/>
              </a:solidFill>
            </c:spPr>
            <c:extLst>
              <c:ext xmlns:c16="http://schemas.microsoft.com/office/drawing/2014/chart" uri="{C3380CC4-5D6E-409C-BE32-E72D297353CC}">
                <c16:uniqueId val="{00000011-66C8-BA4D-8BB4-9F0FAAC5B468}"/>
              </c:ext>
            </c:extLst>
          </c:dPt>
          <c:dPt>
            <c:idx val="9"/>
            <c:bubble3D val="0"/>
            <c:spPr>
              <a:solidFill>
                <a:schemeClr val="accent4"/>
              </a:solidFill>
            </c:spPr>
            <c:extLst>
              <c:ext xmlns:c16="http://schemas.microsoft.com/office/drawing/2014/chart" uri="{C3380CC4-5D6E-409C-BE32-E72D297353CC}">
                <c16:uniqueId val="{00000013-66C8-BA4D-8BB4-9F0FAAC5B46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LEGERS'!$G$125:$G$134</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LEGERS'!$H$125:$H$134</c:f>
              <c:numCache>
                <c:formatCode>General</c:formatCode>
                <c:ptCount val="10"/>
                <c:pt idx="0">
                  <c:v>0</c:v>
                </c:pt>
                <c:pt idx="1">
                  <c:v>2500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66C8-BA4D-8BB4-9F0FAAC5B468}"/>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Finitions &amp; Post-Production</a:t>
            </a:r>
          </a:p>
        </c:rich>
      </c:tx>
      <c:overlay val="0"/>
    </c:title>
    <c:autoTitleDeleted val="0"/>
    <c:plotArea>
      <c:layout/>
      <c:pieChart>
        <c:varyColors val="1"/>
        <c:ser>
          <c:idx val="0"/>
          <c:order val="0"/>
          <c:explosion val="100"/>
          <c:dPt>
            <c:idx val="0"/>
            <c:bubble3D val="0"/>
            <c:spPr>
              <a:solidFill>
                <a:schemeClr val="accent1"/>
              </a:solidFill>
            </c:spPr>
            <c:extLst>
              <c:ext xmlns:c16="http://schemas.microsoft.com/office/drawing/2014/chart" uri="{C3380CC4-5D6E-409C-BE32-E72D297353CC}">
                <c16:uniqueId val="{00000001-04C8-DD44-B3E4-1F85EC23B239}"/>
              </c:ext>
            </c:extLst>
          </c:dPt>
          <c:dPt>
            <c:idx val="1"/>
            <c:bubble3D val="0"/>
            <c:spPr>
              <a:solidFill>
                <a:schemeClr val="accent2"/>
              </a:solidFill>
            </c:spPr>
            <c:extLst>
              <c:ext xmlns:c16="http://schemas.microsoft.com/office/drawing/2014/chart" uri="{C3380CC4-5D6E-409C-BE32-E72D297353CC}">
                <c16:uniqueId val="{00000003-04C8-DD44-B3E4-1F85EC23B239}"/>
              </c:ext>
            </c:extLst>
          </c:dPt>
          <c:dPt>
            <c:idx val="2"/>
            <c:bubble3D val="0"/>
            <c:spPr>
              <a:solidFill>
                <a:schemeClr val="accent3"/>
              </a:solidFill>
            </c:spPr>
            <c:extLst>
              <c:ext xmlns:c16="http://schemas.microsoft.com/office/drawing/2014/chart" uri="{C3380CC4-5D6E-409C-BE32-E72D297353CC}">
                <c16:uniqueId val="{00000005-04C8-DD44-B3E4-1F85EC23B239}"/>
              </c:ext>
            </c:extLst>
          </c:dPt>
          <c:dPt>
            <c:idx val="3"/>
            <c:bubble3D val="0"/>
            <c:spPr>
              <a:solidFill>
                <a:schemeClr val="accent4"/>
              </a:solidFill>
            </c:spPr>
            <c:extLst>
              <c:ext xmlns:c16="http://schemas.microsoft.com/office/drawing/2014/chart" uri="{C3380CC4-5D6E-409C-BE32-E72D297353CC}">
                <c16:uniqueId val="{00000007-04C8-DD44-B3E4-1F85EC23B239}"/>
              </c:ext>
            </c:extLst>
          </c:dPt>
          <c:dPt>
            <c:idx val="4"/>
            <c:bubble3D val="0"/>
            <c:spPr>
              <a:solidFill>
                <a:schemeClr val="accent5"/>
              </a:solidFill>
            </c:spPr>
            <c:extLst>
              <c:ext xmlns:c16="http://schemas.microsoft.com/office/drawing/2014/chart" uri="{C3380CC4-5D6E-409C-BE32-E72D297353CC}">
                <c16:uniqueId val="{00000009-04C8-DD44-B3E4-1F85EC23B239}"/>
              </c:ext>
            </c:extLst>
          </c:dPt>
          <c:dPt>
            <c:idx val="5"/>
            <c:bubble3D val="0"/>
            <c:spPr>
              <a:solidFill>
                <a:schemeClr val="accent6"/>
              </a:solidFill>
            </c:spPr>
            <c:extLst>
              <c:ext xmlns:c16="http://schemas.microsoft.com/office/drawing/2014/chart" uri="{C3380CC4-5D6E-409C-BE32-E72D297353CC}">
                <c16:uniqueId val="{0000000B-04C8-DD44-B3E4-1F85EC23B239}"/>
              </c:ext>
            </c:extLst>
          </c:dPt>
          <c:dPt>
            <c:idx val="6"/>
            <c:bubble3D val="0"/>
            <c:spPr>
              <a:solidFill>
                <a:schemeClr val="accent1"/>
              </a:solidFill>
            </c:spPr>
            <c:extLst>
              <c:ext xmlns:c16="http://schemas.microsoft.com/office/drawing/2014/chart" uri="{C3380CC4-5D6E-409C-BE32-E72D297353CC}">
                <c16:uniqueId val="{0000000D-04C8-DD44-B3E4-1F85EC23B239}"/>
              </c:ext>
            </c:extLst>
          </c:dPt>
          <c:dPt>
            <c:idx val="7"/>
            <c:bubble3D val="0"/>
            <c:spPr>
              <a:solidFill>
                <a:schemeClr val="accent2"/>
              </a:solidFill>
            </c:spPr>
            <c:extLst>
              <c:ext xmlns:c16="http://schemas.microsoft.com/office/drawing/2014/chart" uri="{C3380CC4-5D6E-409C-BE32-E72D297353CC}">
                <c16:uniqueId val="{0000000F-04C8-DD44-B3E4-1F85EC23B239}"/>
              </c:ext>
            </c:extLst>
          </c:dPt>
          <c:dPt>
            <c:idx val="8"/>
            <c:bubble3D val="0"/>
            <c:spPr>
              <a:solidFill>
                <a:schemeClr val="accent3"/>
              </a:solidFill>
            </c:spPr>
            <c:extLst>
              <c:ext xmlns:c16="http://schemas.microsoft.com/office/drawing/2014/chart" uri="{C3380CC4-5D6E-409C-BE32-E72D297353CC}">
                <c16:uniqueId val="{00000011-04C8-DD44-B3E4-1F85EC23B239}"/>
              </c:ext>
            </c:extLst>
          </c:dPt>
          <c:dPt>
            <c:idx val="9"/>
            <c:bubble3D val="0"/>
            <c:spPr>
              <a:solidFill>
                <a:schemeClr val="accent4"/>
              </a:solidFill>
            </c:spPr>
            <c:extLst>
              <c:ext xmlns:c16="http://schemas.microsoft.com/office/drawing/2014/chart" uri="{C3380CC4-5D6E-409C-BE32-E72D297353CC}">
                <c16:uniqueId val="{00000013-04C8-DD44-B3E4-1F85EC23B23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LEGERS'!$G$125:$G$134</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LEGERS'!$J$125:$J$134</c:f>
              <c:numCache>
                <c:formatCode>General</c:formatCode>
                <c:ptCount val="10"/>
                <c:pt idx="0">
                  <c:v>0</c:v>
                </c:pt>
                <c:pt idx="1">
                  <c:v>0</c:v>
                </c:pt>
                <c:pt idx="2">
                  <c:v>0</c:v>
                </c:pt>
                <c:pt idx="3">
                  <c:v>0</c:v>
                </c:pt>
                <c:pt idx="4">
                  <c:v>0</c:v>
                </c:pt>
                <c:pt idx="5">
                  <c:v>0</c:v>
                </c:pt>
                <c:pt idx="6">
                  <c:v>0</c:v>
                </c:pt>
                <c:pt idx="7">
                  <c:v>0</c:v>
                </c:pt>
                <c:pt idx="8">
                  <c:v>100</c:v>
                </c:pt>
                <c:pt idx="9">
                  <c:v>0</c:v>
                </c:pt>
              </c:numCache>
            </c:numRef>
          </c:val>
          <c:extLst>
            <c:ext xmlns:c16="http://schemas.microsoft.com/office/drawing/2014/chart" uri="{C3380CC4-5D6E-409C-BE32-E72D297353CC}">
              <c16:uniqueId val="{00000014-04C8-DD44-B3E4-1F85EC23B239}"/>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1" i="0">
                <a:solidFill>
                  <a:srgbClr val="757575"/>
                </a:solidFill>
                <a:latin typeface="+mn-lt"/>
              </a:defRPr>
            </a:pPr>
            <a:r>
              <a:rPr lang="fr-FR" sz="1400" b="1" i="0">
                <a:solidFill>
                  <a:srgbClr val="757575"/>
                </a:solidFill>
                <a:latin typeface="+mn-lt"/>
              </a:rPr>
              <a:t>En nombre de véhicules</a:t>
            </a:r>
          </a:p>
        </c:rich>
      </c:tx>
      <c:overlay val="0"/>
    </c:title>
    <c:autoTitleDeleted val="0"/>
    <c:plotArea>
      <c:layout/>
      <c:barChart>
        <c:barDir val="bar"/>
        <c:grouping val="clustered"/>
        <c:varyColors val="1"/>
        <c:ser>
          <c:idx val="0"/>
          <c:order val="0"/>
          <c:spPr>
            <a:solidFill>
              <a:srgbClr val="4472C4"/>
            </a:solidFill>
            <a:ln cmpd="sng">
              <a:solidFill>
                <a:srgbClr val="000000"/>
              </a:solidFill>
            </a:ln>
          </c:spPr>
          <c:invertIfNegative val="1"/>
          <c:cat>
            <c:strRef>
              <c:f>'4- VEHICULES UTILITAIRES'!$L$78</c:f>
              <c:strCache>
                <c:ptCount val="1"/>
                <c:pt idx="0">
                  <c:v>Voitures éléctriques louées</c:v>
                </c:pt>
              </c:strCache>
            </c:strRef>
          </c:cat>
          <c:val>
            <c:numRef>
              <c:f>'4- VEHICULES UTILITAIRES'!$L$81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1D-BE45-8FB8-C55969EF82A7}"/>
            </c:ext>
          </c:extLst>
        </c:ser>
        <c:ser>
          <c:idx val="1"/>
          <c:order val="1"/>
          <c:spPr>
            <a:solidFill>
              <a:srgbClr val="ED7D31"/>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2-E41D-BE45-8FB8-C55969EF82A7}"/>
              </c:ext>
            </c:extLst>
          </c:dPt>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4-E41D-BE45-8FB8-C55969EF82A7}"/>
              </c:ext>
            </c:extLst>
          </c:dPt>
          <c:dPt>
            <c:idx val="3"/>
            <c:invertIfNegative val="1"/>
            <c:bubble3D val="0"/>
            <c:spPr>
              <a:solidFill>
                <a:srgbClr val="C00000"/>
              </a:solidFill>
              <a:ln cmpd="sng">
                <a:solidFill>
                  <a:srgbClr val="000000"/>
                </a:solidFill>
              </a:ln>
            </c:spPr>
            <c:extLst>
              <c:ext xmlns:c16="http://schemas.microsoft.com/office/drawing/2014/chart" uri="{C3380CC4-5D6E-409C-BE32-E72D297353CC}">
                <c16:uniqueId val="{00000006-E41D-BE45-8FB8-C55969EF82A7}"/>
              </c:ext>
            </c:extLst>
          </c:dPt>
          <c:cat>
            <c:strRef>
              <c:f>'4- VEHICULES UTILITAIRES'!$L$78</c:f>
              <c:strCache>
                <c:ptCount val="1"/>
                <c:pt idx="0">
                  <c:v>Voitures éléctriques louées</c:v>
                </c:pt>
              </c:strCache>
            </c:strRef>
          </c:cat>
          <c:val>
            <c:numRef>
              <c:f>'4- VEHICULES UTILITAIRES'!$L$84</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E41D-BE45-8FB8-C55969EF82A7}"/>
            </c:ext>
          </c:extLst>
        </c:ser>
        <c:ser>
          <c:idx val="2"/>
          <c:order val="2"/>
          <c:spPr>
            <a:solidFill>
              <a:srgbClr val="A5A5A5"/>
            </a:solidFill>
            <a:ln cmpd="sng">
              <a:solidFill>
                <a:srgbClr val="000000"/>
              </a:solidFill>
            </a:ln>
          </c:spPr>
          <c:invertIfNegative val="1"/>
          <c:cat>
            <c:strRef>
              <c:f>'4- VEHICULES UTILITAIRES'!$L$78</c:f>
              <c:strCache>
                <c:ptCount val="1"/>
                <c:pt idx="0">
                  <c:v>Voitures éléctriques louées</c:v>
                </c:pt>
              </c:strCache>
            </c:strRef>
          </c:cat>
          <c:val>
            <c:numRef>
              <c:f>'4- VEHICULES UTILITAIRES'!$L$87</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E41D-BE45-8FB8-C55969EF82A7}"/>
            </c:ext>
          </c:extLst>
        </c:ser>
        <c:ser>
          <c:idx val="3"/>
          <c:order val="3"/>
          <c:spPr>
            <a:solidFill>
              <a:srgbClr val="FFC000"/>
            </a:solidFill>
            <a:ln cmpd="sng">
              <a:solidFill>
                <a:srgbClr val="000000"/>
              </a:solidFill>
            </a:ln>
          </c:spPr>
          <c:invertIfNegative val="1"/>
          <c:cat>
            <c:strRef>
              <c:f>'4- VEHICULES UTILITAIRES'!$L$78</c:f>
              <c:strCache>
                <c:ptCount val="1"/>
                <c:pt idx="0">
                  <c:v>Voitures éléctriques louées</c:v>
                </c:pt>
              </c:strCache>
            </c:strRef>
          </c:cat>
          <c:val>
            <c:numRef>
              <c:f>'4- VEHICULES UTILITAIRES'!$M$78</c:f>
              <c:numCache>
                <c:formatCode>General</c:formatCode>
                <c:ptCount val="1"/>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E41D-BE45-8FB8-C55969EF82A7}"/>
            </c:ext>
          </c:extLst>
        </c:ser>
        <c:ser>
          <c:idx val="4"/>
          <c:order val="4"/>
          <c:invertIfNegative val="1"/>
          <c:cat>
            <c:strRef>
              <c:f>'4- VEHICULES UTILITAIRES'!$L$78</c:f>
              <c:strCache>
                <c:ptCount val="1"/>
                <c:pt idx="0">
                  <c:v>Voitures éléctriques louées</c:v>
                </c:pt>
              </c:strCache>
            </c:strRef>
          </c:cat>
          <c:val>
            <c:numRef>
              <c:f>'4- VEHICULES UTILITAIRES'!$M$81</c:f>
              <c:numCache>
                <c:formatCode>General</c:formatCode>
                <c:ptCount val="1"/>
              </c:numCache>
            </c:numRef>
          </c:val>
          <c:extLst>
            <c:ext xmlns:c16="http://schemas.microsoft.com/office/drawing/2014/chart" uri="{C3380CC4-5D6E-409C-BE32-E72D297353CC}">
              <c16:uniqueId val="{0000000A-E41D-BE45-8FB8-C55969EF82A7}"/>
            </c:ext>
          </c:extLst>
        </c:ser>
        <c:ser>
          <c:idx val="5"/>
          <c:order val="5"/>
          <c:invertIfNegative val="1"/>
          <c:cat>
            <c:strRef>
              <c:f>'4- VEHICULES UTILITAIRES'!$L$78</c:f>
              <c:strCache>
                <c:ptCount val="1"/>
                <c:pt idx="0">
                  <c:v>Voitures éléctriques louées</c:v>
                </c:pt>
              </c:strCache>
            </c:strRef>
          </c:cat>
          <c:val>
            <c:numRef>
              <c:f>'4- VEHICULES UTILITAIRES'!$M$84</c:f>
              <c:numCache>
                <c:formatCode>General</c:formatCode>
                <c:ptCount val="1"/>
              </c:numCache>
            </c:numRef>
          </c:val>
          <c:extLst>
            <c:ext xmlns:c16="http://schemas.microsoft.com/office/drawing/2014/chart" uri="{C3380CC4-5D6E-409C-BE32-E72D297353CC}">
              <c16:uniqueId val="{0000000B-E41D-BE45-8FB8-C55969EF82A7}"/>
            </c:ext>
          </c:extLst>
        </c:ser>
        <c:ser>
          <c:idx val="6"/>
          <c:order val="6"/>
          <c:invertIfNegative val="1"/>
          <c:cat>
            <c:strRef>
              <c:f>'4- VEHICULES UTILITAIRES'!$L$78</c:f>
              <c:strCache>
                <c:ptCount val="1"/>
                <c:pt idx="0">
                  <c:v>Voitures éléctriques louées</c:v>
                </c:pt>
              </c:strCache>
            </c:strRef>
          </c:cat>
          <c:val>
            <c:numRef>
              <c:f>'4- VEHICULES UTILITAIRES'!$M$87</c:f>
              <c:numCache>
                <c:formatCode>General</c:formatCode>
                <c:ptCount val="1"/>
              </c:numCache>
            </c:numRef>
          </c:val>
          <c:extLst>
            <c:ext xmlns:c16="http://schemas.microsoft.com/office/drawing/2014/chart" uri="{C3380CC4-5D6E-409C-BE32-E72D297353CC}">
              <c16:uniqueId val="{0000000C-E41D-BE45-8FB8-C55969EF82A7}"/>
            </c:ext>
          </c:extLst>
        </c:ser>
        <c:ser>
          <c:idx val="7"/>
          <c:order val="7"/>
          <c:invertIfNegative val="1"/>
          <c:cat>
            <c:strRef>
              <c:f>'4- VEHICULES UTILITAIRES'!$L$78</c:f>
              <c:strCache>
                <c:ptCount val="1"/>
                <c:pt idx="0">
                  <c:v>Voitures éléctriques louées</c:v>
                </c:pt>
              </c:strCache>
            </c:strRef>
          </c:cat>
          <c:val>
            <c:numRef>
              <c:f>'4- VEHICULES UTILITAIRES'!$O$78</c:f>
              <c:numCache>
                <c:formatCode>0%</c:formatCode>
                <c:ptCount val="1"/>
                <c:pt idx="0">
                  <c:v>0</c:v>
                </c:pt>
              </c:numCache>
            </c:numRef>
          </c:val>
          <c:extLst>
            <c:ext xmlns:c16="http://schemas.microsoft.com/office/drawing/2014/chart" uri="{C3380CC4-5D6E-409C-BE32-E72D297353CC}">
              <c16:uniqueId val="{0000000D-E41D-BE45-8FB8-C55969EF82A7}"/>
            </c:ext>
          </c:extLst>
        </c:ser>
        <c:ser>
          <c:idx val="8"/>
          <c:order val="8"/>
          <c:invertIfNegative val="1"/>
          <c:cat>
            <c:strRef>
              <c:f>'4- VEHICULES UTILITAIRES'!$L$78</c:f>
              <c:strCache>
                <c:ptCount val="1"/>
                <c:pt idx="0">
                  <c:v>Voitures éléctriques louées</c:v>
                </c:pt>
              </c:strCache>
            </c:strRef>
          </c:cat>
          <c:val>
            <c:numRef>
              <c:f>'4- VEHICULES UTILITAIRES'!$O$81</c:f>
              <c:numCache>
                <c:formatCode>0%</c:formatCode>
                <c:ptCount val="1"/>
                <c:pt idx="0">
                  <c:v>0</c:v>
                </c:pt>
              </c:numCache>
            </c:numRef>
          </c:val>
          <c:extLst>
            <c:ext xmlns:c16="http://schemas.microsoft.com/office/drawing/2014/chart" uri="{C3380CC4-5D6E-409C-BE32-E72D297353CC}">
              <c16:uniqueId val="{0000000E-E41D-BE45-8FB8-C55969EF82A7}"/>
            </c:ext>
          </c:extLst>
        </c:ser>
        <c:ser>
          <c:idx val="9"/>
          <c:order val="9"/>
          <c:invertIfNegative val="1"/>
          <c:cat>
            <c:strRef>
              <c:f>'4- VEHICULES UTILITAIRES'!$L$78</c:f>
              <c:strCache>
                <c:ptCount val="1"/>
                <c:pt idx="0">
                  <c:v>Voitures éléctriques louées</c:v>
                </c:pt>
              </c:strCache>
            </c:strRef>
          </c:cat>
          <c:val>
            <c:numRef>
              <c:f>'4- VEHICULES UTILITAIRES'!$O$84</c:f>
              <c:numCache>
                <c:formatCode>0%</c:formatCode>
                <c:ptCount val="1"/>
                <c:pt idx="0">
                  <c:v>0</c:v>
                </c:pt>
              </c:numCache>
            </c:numRef>
          </c:val>
          <c:extLst>
            <c:ext xmlns:c16="http://schemas.microsoft.com/office/drawing/2014/chart" uri="{C3380CC4-5D6E-409C-BE32-E72D297353CC}">
              <c16:uniqueId val="{0000000F-E41D-BE45-8FB8-C55969EF82A7}"/>
            </c:ext>
          </c:extLst>
        </c:ser>
        <c:ser>
          <c:idx val="10"/>
          <c:order val="10"/>
          <c:invertIfNegative val="1"/>
          <c:cat>
            <c:strRef>
              <c:f>'4- VEHICULES UTILITAIRES'!$L$78</c:f>
              <c:strCache>
                <c:ptCount val="1"/>
                <c:pt idx="0">
                  <c:v>Voitures éléctriques louées</c:v>
                </c:pt>
              </c:strCache>
            </c:strRef>
          </c:cat>
          <c:val>
            <c:numRef>
              <c:f>'4- VEHICULES UTILITAIRES'!$O$87</c:f>
              <c:numCache>
                <c:formatCode>0%</c:formatCode>
                <c:ptCount val="1"/>
                <c:pt idx="0">
                  <c:v>1</c:v>
                </c:pt>
              </c:numCache>
            </c:numRef>
          </c:val>
          <c:extLst>
            <c:ext xmlns:c16="http://schemas.microsoft.com/office/drawing/2014/chart" uri="{C3380CC4-5D6E-409C-BE32-E72D297353CC}">
              <c16:uniqueId val="{00000010-E41D-BE45-8FB8-C55969EF82A7}"/>
            </c:ext>
          </c:extLst>
        </c:ser>
        <c:dLbls>
          <c:showLegendKey val="0"/>
          <c:showVal val="0"/>
          <c:showCatName val="0"/>
          <c:showSerName val="0"/>
          <c:showPercent val="0"/>
          <c:showBubbleSize val="0"/>
        </c:dLbls>
        <c:gapWidth val="150"/>
        <c:axId val="916692577"/>
        <c:axId val="224393997"/>
      </c:barChart>
      <c:catAx>
        <c:axId val="916692577"/>
        <c:scaling>
          <c:orientation val="maxMin"/>
        </c:scaling>
        <c:delete val="0"/>
        <c:axPos val="l"/>
        <c:title>
          <c:tx>
            <c:rich>
              <a:bodyPr/>
              <a:lstStyle/>
              <a:p>
                <a:pPr lvl="0">
                  <a:defRPr b="0">
                    <a:solidFill>
                      <a:srgbClr val="000000"/>
                    </a:solidFill>
                    <a:latin typeface="+mn-lt"/>
                  </a:defRPr>
                </a:pPr>
                <a:endParaRPr lang="fr-FR"/>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fr-FR"/>
          </a:p>
        </c:txPr>
        <c:crossAx val="224393997"/>
        <c:crosses val="autoZero"/>
        <c:auto val="1"/>
        <c:lblAlgn val="ctr"/>
        <c:lblOffset val="100"/>
        <c:noMultiLvlLbl val="1"/>
      </c:catAx>
      <c:valAx>
        <c:axId val="22439399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fr-FR"/>
          </a:p>
        </c:txPr>
        <c:crossAx val="916692577"/>
        <c:crosses val="max"/>
        <c:crossBetween val="between"/>
      </c:valAx>
    </c:plotArea>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1" i="0">
                <a:solidFill>
                  <a:srgbClr val="757575"/>
                </a:solidFill>
                <a:latin typeface="+mn-lt"/>
              </a:defRPr>
            </a:pPr>
            <a:r>
              <a:rPr lang="fr-FR" sz="1400" b="1" i="0">
                <a:solidFill>
                  <a:srgbClr val="757575"/>
                </a:solidFill>
                <a:latin typeface="+mn-lt"/>
              </a:rPr>
              <a:t>En nombre de kms</a:t>
            </a:r>
          </a:p>
        </c:rich>
      </c:tx>
      <c:overlay val="0"/>
    </c:title>
    <c:autoTitleDeleted val="0"/>
    <c:plotArea>
      <c:layout/>
      <c:barChart>
        <c:barDir val="bar"/>
        <c:grouping val="clustered"/>
        <c:varyColors val="1"/>
        <c:ser>
          <c:idx val="0"/>
          <c:order val="0"/>
          <c:spPr>
            <a:solidFill>
              <a:srgbClr val="4472C4"/>
            </a:solidFill>
            <a:ln cmpd="sng">
              <a:solidFill>
                <a:srgbClr val="000000"/>
              </a:solidFill>
            </a:ln>
          </c:spPr>
          <c:invertIfNegative val="1"/>
          <c:cat>
            <c:strRef>
              <c:f>'4- VEHICULES UTILITAIRES'!$L$79</c:f>
              <c:strCache>
                <c:ptCount val="1"/>
                <c:pt idx="0">
                  <c:v>Nb de kms des voitures éléctriques</c:v>
                </c:pt>
              </c:strCache>
            </c:strRef>
          </c:cat>
          <c:val>
            <c:numRef>
              <c:f>'4- VEHICULES UTILITAIRES'!$L$82</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8EE-1743-882D-75557C1C8403}"/>
            </c:ext>
          </c:extLst>
        </c:ser>
        <c:ser>
          <c:idx val="1"/>
          <c:order val="1"/>
          <c:spPr>
            <a:solidFill>
              <a:srgbClr val="ED7D31"/>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2-E8EE-1743-882D-75557C1C8403}"/>
              </c:ext>
            </c:extLst>
          </c:dPt>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4-E8EE-1743-882D-75557C1C8403}"/>
              </c:ext>
            </c:extLst>
          </c:dPt>
          <c:dPt>
            <c:idx val="3"/>
            <c:invertIfNegative val="1"/>
            <c:bubble3D val="0"/>
            <c:spPr>
              <a:solidFill>
                <a:srgbClr val="C00000"/>
              </a:solidFill>
              <a:ln cmpd="sng">
                <a:solidFill>
                  <a:srgbClr val="000000"/>
                </a:solidFill>
              </a:ln>
            </c:spPr>
            <c:extLst>
              <c:ext xmlns:c16="http://schemas.microsoft.com/office/drawing/2014/chart" uri="{C3380CC4-5D6E-409C-BE32-E72D297353CC}">
                <c16:uniqueId val="{00000006-E8EE-1743-882D-75557C1C8403}"/>
              </c:ext>
            </c:extLst>
          </c:dPt>
          <c:cat>
            <c:strRef>
              <c:f>'4- VEHICULES UTILITAIRES'!$L$79</c:f>
              <c:strCache>
                <c:ptCount val="1"/>
                <c:pt idx="0">
                  <c:v>Nb de kms des voitures éléctriques</c:v>
                </c:pt>
              </c:strCache>
            </c:strRef>
          </c:cat>
          <c:val>
            <c:numRef>
              <c:f>'4- VEHICULES UTILITAIRES'!$L$85</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E8EE-1743-882D-75557C1C8403}"/>
            </c:ext>
          </c:extLst>
        </c:ser>
        <c:ser>
          <c:idx val="2"/>
          <c:order val="2"/>
          <c:spPr>
            <a:solidFill>
              <a:srgbClr val="A5A5A5"/>
            </a:solidFill>
            <a:ln cmpd="sng">
              <a:solidFill>
                <a:srgbClr val="000000"/>
              </a:solidFill>
            </a:ln>
          </c:spPr>
          <c:invertIfNegative val="1"/>
          <c:cat>
            <c:strRef>
              <c:f>'4- VEHICULES UTILITAIRES'!$L$79</c:f>
              <c:strCache>
                <c:ptCount val="1"/>
                <c:pt idx="0">
                  <c:v>Nb de kms des voitures éléctriques</c:v>
                </c:pt>
              </c:strCache>
            </c:strRef>
          </c:cat>
          <c:val>
            <c:numRef>
              <c:f>'4- VEHICULES UTILITAIRES'!$L$88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E8EE-1743-882D-75557C1C8403}"/>
            </c:ext>
          </c:extLst>
        </c:ser>
        <c:ser>
          <c:idx val="3"/>
          <c:order val="3"/>
          <c:spPr>
            <a:solidFill>
              <a:srgbClr val="FFC000"/>
            </a:solidFill>
            <a:ln cmpd="sng">
              <a:solidFill>
                <a:srgbClr val="000000"/>
              </a:solidFill>
            </a:ln>
          </c:spPr>
          <c:invertIfNegative val="1"/>
          <c:cat>
            <c:strRef>
              <c:f>'4- VEHICULES UTILITAIRES'!$L$79</c:f>
              <c:strCache>
                <c:ptCount val="1"/>
                <c:pt idx="0">
                  <c:v>Nb de kms des voitures éléctriques</c:v>
                </c:pt>
              </c:strCache>
            </c:strRef>
          </c:cat>
          <c:val>
            <c:numRef>
              <c:f>'4- VEHICULES UTILITAIRES'!$M$79</c:f>
              <c:numCache>
                <c:formatCode>General</c:formatCode>
                <c:ptCount val="1"/>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E8EE-1743-882D-75557C1C8403}"/>
            </c:ext>
          </c:extLst>
        </c:ser>
        <c:ser>
          <c:idx val="4"/>
          <c:order val="4"/>
          <c:invertIfNegative val="1"/>
          <c:cat>
            <c:strRef>
              <c:f>'4- VEHICULES UTILITAIRES'!$L$79</c:f>
              <c:strCache>
                <c:ptCount val="1"/>
                <c:pt idx="0">
                  <c:v>Nb de kms des voitures éléctriques</c:v>
                </c:pt>
              </c:strCache>
            </c:strRef>
          </c:cat>
          <c:val>
            <c:numRef>
              <c:f>'4- VEHICULES UTILITAIRES'!$M$82</c:f>
              <c:numCache>
                <c:formatCode>General</c:formatCode>
                <c:ptCount val="1"/>
              </c:numCache>
            </c:numRef>
          </c:val>
          <c:extLst>
            <c:ext xmlns:c16="http://schemas.microsoft.com/office/drawing/2014/chart" uri="{C3380CC4-5D6E-409C-BE32-E72D297353CC}">
              <c16:uniqueId val="{0000000A-E8EE-1743-882D-75557C1C8403}"/>
            </c:ext>
          </c:extLst>
        </c:ser>
        <c:ser>
          <c:idx val="5"/>
          <c:order val="5"/>
          <c:invertIfNegative val="1"/>
          <c:cat>
            <c:strRef>
              <c:f>'4- VEHICULES UTILITAIRES'!$L$79</c:f>
              <c:strCache>
                <c:ptCount val="1"/>
                <c:pt idx="0">
                  <c:v>Nb de kms des voitures éléctriques</c:v>
                </c:pt>
              </c:strCache>
            </c:strRef>
          </c:cat>
          <c:val>
            <c:numRef>
              <c:f>'4- VEHICULES UTILITAIRES'!$M$85</c:f>
              <c:numCache>
                <c:formatCode>General</c:formatCode>
                <c:ptCount val="1"/>
              </c:numCache>
            </c:numRef>
          </c:val>
          <c:extLst>
            <c:ext xmlns:c16="http://schemas.microsoft.com/office/drawing/2014/chart" uri="{C3380CC4-5D6E-409C-BE32-E72D297353CC}">
              <c16:uniqueId val="{0000000B-E8EE-1743-882D-75557C1C8403}"/>
            </c:ext>
          </c:extLst>
        </c:ser>
        <c:ser>
          <c:idx val="6"/>
          <c:order val="6"/>
          <c:invertIfNegative val="1"/>
          <c:cat>
            <c:strRef>
              <c:f>'4- VEHICULES UTILITAIRES'!$L$79</c:f>
              <c:strCache>
                <c:ptCount val="1"/>
                <c:pt idx="0">
                  <c:v>Nb de kms des voitures éléctriques</c:v>
                </c:pt>
              </c:strCache>
            </c:strRef>
          </c:cat>
          <c:val>
            <c:numRef>
              <c:f>'4- VEHICULES UTILITAIRES'!$M$88</c:f>
              <c:numCache>
                <c:formatCode>General</c:formatCode>
                <c:ptCount val="1"/>
              </c:numCache>
            </c:numRef>
          </c:val>
          <c:extLst>
            <c:ext xmlns:c16="http://schemas.microsoft.com/office/drawing/2014/chart" uri="{C3380CC4-5D6E-409C-BE32-E72D297353CC}">
              <c16:uniqueId val="{0000000C-E8EE-1743-882D-75557C1C8403}"/>
            </c:ext>
          </c:extLst>
        </c:ser>
        <c:ser>
          <c:idx val="7"/>
          <c:order val="7"/>
          <c:invertIfNegative val="1"/>
          <c:cat>
            <c:strRef>
              <c:f>'4- VEHICULES UTILITAIRES'!$L$79</c:f>
              <c:strCache>
                <c:ptCount val="1"/>
                <c:pt idx="0">
                  <c:v>Nb de kms des voitures éléctriques</c:v>
                </c:pt>
              </c:strCache>
            </c:strRef>
          </c:cat>
          <c:val>
            <c:numRef>
              <c:f>'4- VEHICULES UTILITAIRES'!$O$79</c:f>
              <c:numCache>
                <c:formatCode>0%</c:formatCode>
                <c:ptCount val="1"/>
                <c:pt idx="0">
                  <c:v>0</c:v>
                </c:pt>
              </c:numCache>
            </c:numRef>
          </c:val>
          <c:extLst>
            <c:ext xmlns:c16="http://schemas.microsoft.com/office/drawing/2014/chart" uri="{C3380CC4-5D6E-409C-BE32-E72D297353CC}">
              <c16:uniqueId val="{0000000D-E8EE-1743-882D-75557C1C8403}"/>
            </c:ext>
          </c:extLst>
        </c:ser>
        <c:ser>
          <c:idx val="8"/>
          <c:order val="8"/>
          <c:invertIfNegative val="1"/>
          <c:cat>
            <c:strRef>
              <c:f>'4- VEHICULES UTILITAIRES'!$L$79</c:f>
              <c:strCache>
                <c:ptCount val="1"/>
                <c:pt idx="0">
                  <c:v>Nb de kms des voitures éléctriques</c:v>
                </c:pt>
              </c:strCache>
            </c:strRef>
          </c:cat>
          <c:val>
            <c:numRef>
              <c:f>'4- VEHICULES UTILITAIRES'!$O$82</c:f>
              <c:numCache>
                <c:formatCode>0%</c:formatCode>
                <c:ptCount val="1"/>
                <c:pt idx="0">
                  <c:v>0</c:v>
                </c:pt>
              </c:numCache>
            </c:numRef>
          </c:val>
          <c:extLst>
            <c:ext xmlns:c16="http://schemas.microsoft.com/office/drawing/2014/chart" uri="{C3380CC4-5D6E-409C-BE32-E72D297353CC}">
              <c16:uniqueId val="{0000000E-E8EE-1743-882D-75557C1C8403}"/>
            </c:ext>
          </c:extLst>
        </c:ser>
        <c:ser>
          <c:idx val="9"/>
          <c:order val="9"/>
          <c:invertIfNegative val="1"/>
          <c:cat>
            <c:strRef>
              <c:f>'4- VEHICULES UTILITAIRES'!$L$79</c:f>
              <c:strCache>
                <c:ptCount val="1"/>
                <c:pt idx="0">
                  <c:v>Nb de kms des voitures éléctriques</c:v>
                </c:pt>
              </c:strCache>
            </c:strRef>
          </c:cat>
          <c:val>
            <c:numRef>
              <c:f>'4- VEHICULES UTILITAIRES'!$O$85</c:f>
              <c:numCache>
                <c:formatCode>0%</c:formatCode>
                <c:ptCount val="1"/>
                <c:pt idx="0">
                  <c:v>0</c:v>
                </c:pt>
              </c:numCache>
            </c:numRef>
          </c:val>
          <c:extLst>
            <c:ext xmlns:c16="http://schemas.microsoft.com/office/drawing/2014/chart" uri="{C3380CC4-5D6E-409C-BE32-E72D297353CC}">
              <c16:uniqueId val="{0000000F-E8EE-1743-882D-75557C1C8403}"/>
            </c:ext>
          </c:extLst>
        </c:ser>
        <c:ser>
          <c:idx val="10"/>
          <c:order val="10"/>
          <c:invertIfNegative val="1"/>
          <c:cat>
            <c:strRef>
              <c:f>'4- VEHICULES UTILITAIRES'!$L$79</c:f>
              <c:strCache>
                <c:ptCount val="1"/>
                <c:pt idx="0">
                  <c:v>Nb de kms des voitures éléctriques</c:v>
                </c:pt>
              </c:strCache>
            </c:strRef>
          </c:cat>
          <c:val>
            <c:numRef>
              <c:f>'4- VEHICULES UTILITAIRES'!$O$88</c:f>
              <c:numCache>
                <c:formatCode>0%</c:formatCode>
                <c:ptCount val="1"/>
                <c:pt idx="0">
                  <c:v>1</c:v>
                </c:pt>
              </c:numCache>
            </c:numRef>
          </c:val>
          <c:extLst>
            <c:ext xmlns:c16="http://schemas.microsoft.com/office/drawing/2014/chart" uri="{C3380CC4-5D6E-409C-BE32-E72D297353CC}">
              <c16:uniqueId val="{00000010-E8EE-1743-882D-75557C1C8403}"/>
            </c:ext>
          </c:extLst>
        </c:ser>
        <c:dLbls>
          <c:showLegendKey val="0"/>
          <c:showVal val="0"/>
          <c:showCatName val="0"/>
          <c:showSerName val="0"/>
          <c:showPercent val="0"/>
          <c:showBubbleSize val="0"/>
        </c:dLbls>
        <c:gapWidth val="150"/>
        <c:axId val="254243780"/>
        <c:axId val="694193124"/>
      </c:barChart>
      <c:catAx>
        <c:axId val="254243780"/>
        <c:scaling>
          <c:orientation val="maxMin"/>
        </c:scaling>
        <c:delete val="0"/>
        <c:axPos val="l"/>
        <c:title>
          <c:tx>
            <c:rich>
              <a:bodyPr/>
              <a:lstStyle/>
              <a:p>
                <a:pPr lvl="0">
                  <a:defRPr b="0">
                    <a:solidFill>
                      <a:srgbClr val="000000"/>
                    </a:solidFill>
                    <a:latin typeface="+mn-lt"/>
                  </a:defRPr>
                </a:pPr>
                <a:endParaRPr lang="fr-FR"/>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fr-FR"/>
          </a:p>
        </c:txPr>
        <c:crossAx val="694193124"/>
        <c:crosses val="autoZero"/>
        <c:auto val="1"/>
        <c:lblAlgn val="ctr"/>
        <c:lblOffset val="100"/>
        <c:noMultiLvlLbl val="1"/>
      </c:catAx>
      <c:valAx>
        <c:axId val="69419312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fr-FR"/>
          </a:p>
        </c:txPr>
        <c:crossAx val="254243780"/>
        <c:crosses val="max"/>
        <c:crossBetween val="between"/>
      </c:valAx>
    </c:plotArea>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1" i="0">
                <a:solidFill>
                  <a:srgbClr val="757575"/>
                </a:solidFill>
                <a:latin typeface="+mn-lt"/>
              </a:defRPr>
            </a:pPr>
            <a:r>
              <a:rPr lang="fr-FR" sz="1400" b="1" i="0">
                <a:solidFill>
                  <a:srgbClr val="757575"/>
                </a:solidFill>
                <a:latin typeface="+mn-lt"/>
              </a:rPr>
              <a:t>En nombre de véhicules</a:t>
            </a:r>
          </a:p>
        </c:rich>
      </c:tx>
      <c:overlay val="0"/>
    </c:title>
    <c:autoTitleDeleted val="0"/>
    <c:plotArea>
      <c:layout/>
      <c:barChart>
        <c:barDir val="bar"/>
        <c:grouping val="clustered"/>
        <c:varyColors val="1"/>
        <c:ser>
          <c:idx val="0"/>
          <c:order val="0"/>
          <c:spPr>
            <a:solidFill>
              <a:srgbClr val="4472C4"/>
            </a:solidFill>
            <a:ln cmpd="sng">
              <a:solidFill>
                <a:srgbClr val="000000"/>
              </a:solidFill>
            </a:ln>
          </c:spPr>
          <c:invertIfNegative val="1"/>
          <c:cat>
            <c:strRef>
              <c:f>'4- VEHICULES UTILITAIRES'!$L$95</c:f>
              <c:strCache>
                <c:ptCount val="1"/>
                <c:pt idx="0">
                  <c:v>Voitures éléctriques louées</c:v>
                </c:pt>
              </c:strCache>
            </c:strRef>
          </c:cat>
          <c:val>
            <c:numRef>
              <c:f>'4- VEHICULES UTILITAIRES'!$L$98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80-4047-A27E-70E1EA690E5C}"/>
            </c:ext>
          </c:extLst>
        </c:ser>
        <c:ser>
          <c:idx val="1"/>
          <c:order val="1"/>
          <c:spPr>
            <a:solidFill>
              <a:srgbClr val="ED7D31"/>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2-8280-4047-A27E-70E1EA690E5C}"/>
              </c:ext>
            </c:extLst>
          </c:dPt>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4-8280-4047-A27E-70E1EA690E5C}"/>
              </c:ext>
            </c:extLst>
          </c:dPt>
          <c:dPt>
            <c:idx val="3"/>
            <c:invertIfNegative val="1"/>
            <c:bubble3D val="0"/>
            <c:spPr>
              <a:solidFill>
                <a:srgbClr val="C00000"/>
              </a:solidFill>
              <a:ln cmpd="sng">
                <a:solidFill>
                  <a:srgbClr val="000000"/>
                </a:solidFill>
              </a:ln>
            </c:spPr>
            <c:extLst>
              <c:ext xmlns:c16="http://schemas.microsoft.com/office/drawing/2014/chart" uri="{C3380CC4-5D6E-409C-BE32-E72D297353CC}">
                <c16:uniqueId val="{00000006-8280-4047-A27E-70E1EA690E5C}"/>
              </c:ext>
            </c:extLst>
          </c:dPt>
          <c:dPt>
            <c:idx val="4"/>
            <c:invertIfNegative val="1"/>
            <c:bubble3D val="0"/>
            <c:spPr>
              <a:solidFill>
                <a:schemeClr val="accent6"/>
              </a:solidFill>
              <a:ln cmpd="sng">
                <a:solidFill>
                  <a:srgbClr val="000000"/>
                </a:solidFill>
              </a:ln>
            </c:spPr>
            <c:extLst>
              <c:ext xmlns:c16="http://schemas.microsoft.com/office/drawing/2014/chart" uri="{C3380CC4-5D6E-409C-BE32-E72D297353CC}">
                <c16:uniqueId val="{00000008-8280-4047-A27E-70E1EA690E5C}"/>
              </c:ext>
            </c:extLst>
          </c:dPt>
          <c:dPt>
            <c:idx val="5"/>
            <c:invertIfNegative val="1"/>
            <c:bubble3D val="0"/>
            <c:spPr>
              <a:solidFill>
                <a:srgbClr val="FF4940"/>
              </a:solidFill>
              <a:ln cmpd="sng">
                <a:solidFill>
                  <a:srgbClr val="000000"/>
                </a:solidFill>
              </a:ln>
            </c:spPr>
            <c:extLst>
              <c:ext xmlns:c16="http://schemas.microsoft.com/office/drawing/2014/chart" uri="{C3380CC4-5D6E-409C-BE32-E72D297353CC}">
                <c16:uniqueId val="{0000000A-8280-4047-A27E-70E1EA690E5C}"/>
              </c:ext>
            </c:extLst>
          </c:dPt>
          <c:dPt>
            <c:idx val="6"/>
            <c:invertIfNegative val="1"/>
            <c:bubble3D val="0"/>
            <c:spPr>
              <a:solidFill>
                <a:srgbClr val="002060"/>
              </a:solidFill>
              <a:ln cmpd="sng">
                <a:solidFill>
                  <a:srgbClr val="000000"/>
                </a:solidFill>
              </a:ln>
            </c:spPr>
            <c:extLst>
              <c:ext xmlns:c16="http://schemas.microsoft.com/office/drawing/2014/chart" uri="{C3380CC4-5D6E-409C-BE32-E72D297353CC}">
                <c16:uniqueId val="{0000000C-8280-4047-A27E-70E1EA690E5C}"/>
              </c:ext>
            </c:extLst>
          </c:dPt>
          <c:cat>
            <c:strRef>
              <c:f>'4- VEHICULES UTILITAIRES'!$L$95</c:f>
              <c:strCache>
                <c:ptCount val="1"/>
                <c:pt idx="0">
                  <c:v>Voitures éléctriques louées</c:v>
                </c:pt>
              </c:strCache>
            </c:strRef>
          </c:cat>
          <c:val>
            <c:numRef>
              <c:f>'4- VEHICULES UTILITAIRES'!$L$101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8280-4047-A27E-70E1EA690E5C}"/>
            </c:ext>
          </c:extLst>
        </c:ser>
        <c:ser>
          <c:idx val="2"/>
          <c:order val="2"/>
          <c:spPr>
            <a:solidFill>
              <a:srgbClr val="A5A5A5"/>
            </a:solidFill>
            <a:ln cmpd="sng">
              <a:solidFill>
                <a:srgbClr val="000000"/>
              </a:solidFill>
            </a:ln>
          </c:spPr>
          <c:invertIfNegative val="1"/>
          <c:cat>
            <c:strRef>
              <c:f>'4- VEHICULES UTILITAIRES'!$L$95</c:f>
              <c:strCache>
                <c:ptCount val="1"/>
                <c:pt idx="0">
                  <c:v>Voitures éléctriques louées</c:v>
                </c:pt>
              </c:strCache>
            </c:strRef>
          </c:cat>
          <c:val>
            <c:numRef>
              <c:f>'4- VEHICULES UTILITAIRES'!$L$104</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8280-4047-A27E-70E1EA690E5C}"/>
            </c:ext>
          </c:extLst>
        </c:ser>
        <c:ser>
          <c:idx val="3"/>
          <c:order val="3"/>
          <c:spPr>
            <a:solidFill>
              <a:srgbClr val="FFC000"/>
            </a:solidFill>
            <a:ln cmpd="sng">
              <a:solidFill>
                <a:srgbClr val="000000"/>
              </a:solidFill>
            </a:ln>
          </c:spPr>
          <c:invertIfNegative val="1"/>
          <c:cat>
            <c:strRef>
              <c:f>'4- VEHICULES UTILITAIRES'!$L$95</c:f>
              <c:strCache>
                <c:ptCount val="1"/>
                <c:pt idx="0">
                  <c:v>Voitures éléctriques louées</c:v>
                </c:pt>
              </c:strCache>
            </c:strRef>
          </c:cat>
          <c:val>
            <c:numRef>
              <c:f>'4- VEHICULES UTILITAIRES'!$L$108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8280-4047-A27E-70E1EA690E5C}"/>
            </c:ext>
          </c:extLst>
        </c:ser>
        <c:ser>
          <c:idx val="4"/>
          <c:order val="4"/>
          <c:spPr>
            <a:solidFill>
              <a:srgbClr val="5B9BD5"/>
            </a:solidFill>
            <a:ln cmpd="sng">
              <a:solidFill>
                <a:srgbClr val="000000"/>
              </a:solidFill>
            </a:ln>
          </c:spPr>
          <c:invertIfNegative val="1"/>
          <c:cat>
            <c:strRef>
              <c:f>'4- VEHICULES UTILITAIRES'!$L$95</c:f>
              <c:strCache>
                <c:ptCount val="1"/>
                <c:pt idx="0">
                  <c:v>Voitures éléctriques louées</c:v>
                </c:pt>
              </c:strCache>
            </c:strRef>
          </c:cat>
          <c:val>
            <c:numRef>
              <c:f>'4- VEHICULES UTILITAIRES'!$L$111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8280-4047-A27E-70E1EA690E5C}"/>
            </c:ext>
          </c:extLst>
        </c:ser>
        <c:ser>
          <c:idx val="5"/>
          <c:order val="5"/>
          <c:spPr>
            <a:solidFill>
              <a:srgbClr val="70AD47"/>
            </a:solidFill>
            <a:ln cmpd="sng">
              <a:solidFill>
                <a:srgbClr val="000000"/>
              </a:solidFill>
            </a:ln>
          </c:spPr>
          <c:invertIfNegative val="1"/>
          <c:cat>
            <c:strRef>
              <c:f>'4- VEHICULES UTILITAIRES'!$L$95</c:f>
              <c:strCache>
                <c:ptCount val="1"/>
                <c:pt idx="0">
                  <c:v>Voitures éléctriques louées</c:v>
                </c:pt>
              </c:strCache>
            </c:strRef>
          </c:cat>
          <c:val>
            <c:numRef>
              <c:f>'4- VEHICULES UTILITAIRES'!$L$114</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1-8280-4047-A27E-70E1EA690E5C}"/>
            </c:ext>
          </c:extLst>
        </c:ser>
        <c:ser>
          <c:idx val="6"/>
          <c:order val="6"/>
          <c:spPr>
            <a:solidFill>
              <a:srgbClr val="B8CAE9"/>
            </a:solidFill>
            <a:ln cmpd="sng">
              <a:solidFill>
                <a:srgbClr val="000000"/>
              </a:solidFill>
            </a:ln>
          </c:spPr>
          <c:invertIfNegative val="1"/>
          <c:cat>
            <c:strRef>
              <c:f>'4- VEHICULES UTILITAIRES'!$L$95</c:f>
              <c:strCache>
                <c:ptCount val="1"/>
                <c:pt idx="0">
                  <c:v>Voitures éléctriques louées</c:v>
                </c:pt>
              </c:strCache>
            </c:strRef>
          </c:cat>
          <c:val>
            <c:numRef>
              <c:f>'4- VEHICULES UTILITAIRES'!$M$95</c:f>
              <c:numCache>
                <c:formatCode>General</c:formatCode>
                <c:ptCount val="1"/>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2-8280-4047-A27E-70E1EA690E5C}"/>
            </c:ext>
          </c:extLst>
        </c:ser>
        <c:ser>
          <c:idx val="7"/>
          <c:order val="7"/>
          <c:invertIfNegative val="1"/>
          <c:cat>
            <c:strRef>
              <c:f>'4- VEHICULES UTILITAIRES'!$L$95</c:f>
              <c:strCache>
                <c:ptCount val="1"/>
                <c:pt idx="0">
                  <c:v>Voitures éléctriques louées</c:v>
                </c:pt>
              </c:strCache>
            </c:strRef>
          </c:cat>
          <c:val>
            <c:numRef>
              <c:f>'4- VEHICULES UTILITAIRES'!$M$98</c:f>
              <c:numCache>
                <c:formatCode>General</c:formatCode>
                <c:ptCount val="1"/>
              </c:numCache>
            </c:numRef>
          </c:val>
          <c:extLst>
            <c:ext xmlns:c16="http://schemas.microsoft.com/office/drawing/2014/chart" uri="{C3380CC4-5D6E-409C-BE32-E72D297353CC}">
              <c16:uniqueId val="{00000013-8280-4047-A27E-70E1EA690E5C}"/>
            </c:ext>
          </c:extLst>
        </c:ser>
        <c:ser>
          <c:idx val="8"/>
          <c:order val="8"/>
          <c:invertIfNegative val="1"/>
          <c:cat>
            <c:strRef>
              <c:f>'4- VEHICULES UTILITAIRES'!$L$95</c:f>
              <c:strCache>
                <c:ptCount val="1"/>
                <c:pt idx="0">
                  <c:v>Voitures éléctriques louées</c:v>
                </c:pt>
              </c:strCache>
            </c:strRef>
          </c:cat>
          <c:val>
            <c:numRef>
              <c:f>'4- VEHICULES UTILITAIRES'!$M$101</c:f>
              <c:numCache>
                <c:formatCode>General</c:formatCode>
                <c:ptCount val="1"/>
              </c:numCache>
            </c:numRef>
          </c:val>
          <c:extLst>
            <c:ext xmlns:c16="http://schemas.microsoft.com/office/drawing/2014/chart" uri="{C3380CC4-5D6E-409C-BE32-E72D297353CC}">
              <c16:uniqueId val="{00000014-8280-4047-A27E-70E1EA690E5C}"/>
            </c:ext>
          </c:extLst>
        </c:ser>
        <c:ser>
          <c:idx val="9"/>
          <c:order val="9"/>
          <c:invertIfNegative val="1"/>
          <c:cat>
            <c:strRef>
              <c:f>'4- VEHICULES UTILITAIRES'!$L$95</c:f>
              <c:strCache>
                <c:ptCount val="1"/>
                <c:pt idx="0">
                  <c:v>Voitures éléctriques louées</c:v>
                </c:pt>
              </c:strCache>
            </c:strRef>
          </c:cat>
          <c:val>
            <c:numRef>
              <c:f>'4- VEHICULES UTILITAIRES'!$M$104</c:f>
              <c:numCache>
                <c:formatCode>General</c:formatCode>
                <c:ptCount val="1"/>
              </c:numCache>
            </c:numRef>
          </c:val>
          <c:extLst>
            <c:ext xmlns:c16="http://schemas.microsoft.com/office/drawing/2014/chart" uri="{C3380CC4-5D6E-409C-BE32-E72D297353CC}">
              <c16:uniqueId val="{00000015-8280-4047-A27E-70E1EA690E5C}"/>
            </c:ext>
          </c:extLst>
        </c:ser>
        <c:ser>
          <c:idx val="10"/>
          <c:order val="10"/>
          <c:invertIfNegative val="1"/>
          <c:cat>
            <c:strRef>
              <c:f>'4- VEHICULES UTILITAIRES'!$L$95</c:f>
              <c:strCache>
                <c:ptCount val="1"/>
                <c:pt idx="0">
                  <c:v>Voitures éléctriques louées</c:v>
                </c:pt>
              </c:strCache>
            </c:strRef>
          </c:cat>
          <c:val>
            <c:numRef>
              <c:f>'4- VEHICULES UTILITAIRES'!$M$108</c:f>
              <c:numCache>
                <c:formatCode>General</c:formatCode>
                <c:ptCount val="1"/>
              </c:numCache>
            </c:numRef>
          </c:val>
          <c:extLst>
            <c:ext xmlns:c16="http://schemas.microsoft.com/office/drawing/2014/chart" uri="{C3380CC4-5D6E-409C-BE32-E72D297353CC}">
              <c16:uniqueId val="{00000016-8280-4047-A27E-70E1EA690E5C}"/>
            </c:ext>
          </c:extLst>
        </c:ser>
        <c:ser>
          <c:idx val="11"/>
          <c:order val="11"/>
          <c:invertIfNegative val="1"/>
          <c:cat>
            <c:strRef>
              <c:f>'4- VEHICULES UTILITAIRES'!$L$95</c:f>
              <c:strCache>
                <c:ptCount val="1"/>
                <c:pt idx="0">
                  <c:v>Voitures éléctriques louées</c:v>
                </c:pt>
              </c:strCache>
            </c:strRef>
          </c:cat>
          <c:val>
            <c:numRef>
              <c:f>'4- VEHICULES UTILITAIRES'!$M$111</c:f>
              <c:numCache>
                <c:formatCode>General</c:formatCode>
                <c:ptCount val="1"/>
              </c:numCache>
            </c:numRef>
          </c:val>
          <c:extLst>
            <c:ext xmlns:c16="http://schemas.microsoft.com/office/drawing/2014/chart" uri="{C3380CC4-5D6E-409C-BE32-E72D297353CC}">
              <c16:uniqueId val="{00000017-8280-4047-A27E-70E1EA690E5C}"/>
            </c:ext>
          </c:extLst>
        </c:ser>
        <c:ser>
          <c:idx val="12"/>
          <c:order val="12"/>
          <c:invertIfNegative val="1"/>
          <c:cat>
            <c:strRef>
              <c:f>'4- VEHICULES UTILITAIRES'!$L$95</c:f>
              <c:strCache>
                <c:ptCount val="1"/>
                <c:pt idx="0">
                  <c:v>Voitures éléctriques louées</c:v>
                </c:pt>
              </c:strCache>
            </c:strRef>
          </c:cat>
          <c:val>
            <c:numRef>
              <c:f>'4- VEHICULES UTILITAIRES'!$M$114</c:f>
              <c:numCache>
                <c:formatCode>General</c:formatCode>
                <c:ptCount val="1"/>
              </c:numCache>
            </c:numRef>
          </c:val>
          <c:extLst>
            <c:ext xmlns:c16="http://schemas.microsoft.com/office/drawing/2014/chart" uri="{C3380CC4-5D6E-409C-BE32-E72D297353CC}">
              <c16:uniqueId val="{00000018-8280-4047-A27E-70E1EA690E5C}"/>
            </c:ext>
          </c:extLst>
        </c:ser>
        <c:ser>
          <c:idx val="13"/>
          <c:order val="13"/>
          <c:invertIfNegative val="1"/>
          <c:cat>
            <c:strRef>
              <c:f>'4- VEHICULES UTILITAIRES'!$L$95</c:f>
              <c:strCache>
                <c:ptCount val="1"/>
                <c:pt idx="0">
                  <c:v>Voitures éléctriques louées</c:v>
                </c:pt>
              </c:strCache>
            </c:strRef>
          </c:cat>
          <c:val>
            <c:numRef>
              <c:f>'4- VEHICULES UTILITAIRES'!$O$95</c:f>
              <c:numCache>
                <c:formatCode>0%</c:formatCode>
                <c:ptCount val="1"/>
                <c:pt idx="0">
                  <c:v>0</c:v>
                </c:pt>
              </c:numCache>
            </c:numRef>
          </c:val>
          <c:extLst>
            <c:ext xmlns:c16="http://schemas.microsoft.com/office/drawing/2014/chart" uri="{C3380CC4-5D6E-409C-BE32-E72D297353CC}">
              <c16:uniqueId val="{00000019-8280-4047-A27E-70E1EA690E5C}"/>
            </c:ext>
          </c:extLst>
        </c:ser>
        <c:ser>
          <c:idx val="14"/>
          <c:order val="14"/>
          <c:invertIfNegative val="1"/>
          <c:cat>
            <c:strRef>
              <c:f>'4- VEHICULES UTILITAIRES'!$L$95</c:f>
              <c:strCache>
                <c:ptCount val="1"/>
                <c:pt idx="0">
                  <c:v>Voitures éléctriques louées</c:v>
                </c:pt>
              </c:strCache>
            </c:strRef>
          </c:cat>
          <c:val>
            <c:numRef>
              <c:f>'4- VEHICULES UTILITAIRES'!$O$98</c:f>
              <c:numCache>
                <c:formatCode>0%</c:formatCode>
                <c:ptCount val="1"/>
                <c:pt idx="0">
                  <c:v>0</c:v>
                </c:pt>
              </c:numCache>
            </c:numRef>
          </c:val>
          <c:extLst>
            <c:ext xmlns:c16="http://schemas.microsoft.com/office/drawing/2014/chart" uri="{C3380CC4-5D6E-409C-BE32-E72D297353CC}">
              <c16:uniqueId val="{0000001A-8280-4047-A27E-70E1EA690E5C}"/>
            </c:ext>
          </c:extLst>
        </c:ser>
        <c:ser>
          <c:idx val="15"/>
          <c:order val="15"/>
          <c:invertIfNegative val="1"/>
          <c:cat>
            <c:strRef>
              <c:f>'4- VEHICULES UTILITAIRES'!$L$95</c:f>
              <c:strCache>
                <c:ptCount val="1"/>
                <c:pt idx="0">
                  <c:v>Voitures éléctriques louées</c:v>
                </c:pt>
              </c:strCache>
            </c:strRef>
          </c:cat>
          <c:val>
            <c:numRef>
              <c:f>'4- VEHICULES UTILITAIRES'!$O$101</c:f>
              <c:numCache>
                <c:formatCode>0%</c:formatCode>
                <c:ptCount val="1"/>
                <c:pt idx="0">
                  <c:v>0</c:v>
                </c:pt>
              </c:numCache>
            </c:numRef>
          </c:val>
          <c:extLst>
            <c:ext xmlns:c16="http://schemas.microsoft.com/office/drawing/2014/chart" uri="{C3380CC4-5D6E-409C-BE32-E72D297353CC}">
              <c16:uniqueId val="{0000001B-8280-4047-A27E-70E1EA690E5C}"/>
            </c:ext>
          </c:extLst>
        </c:ser>
        <c:ser>
          <c:idx val="16"/>
          <c:order val="16"/>
          <c:invertIfNegative val="1"/>
          <c:cat>
            <c:strRef>
              <c:f>'4- VEHICULES UTILITAIRES'!$L$95</c:f>
              <c:strCache>
                <c:ptCount val="1"/>
                <c:pt idx="0">
                  <c:v>Voitures éléctriques louées</c:v>
                </c:pt>
              </c:strCache>
            </c:strRef>
          </c:cat>
          <c:val>
            <c:numRef>
              <c:f>'4- VEHICULES UTILITAIRES'!$O$104</c:f>
              <c:numCache>
                <c:formatCode>0%</c:formatCode>
                <c:ptCount val="1"/>
                <c:pt idx="0">
                  <c:v>0.5</c:v>
                </c:pt>
              </c:numCache>
            </c:numRef>
          </c:val>
          <c:extLst>
            <c:ext xmlns:c16="http://schemas.microsoft.com/office/drawing/2014/chart" uri="{C3380CC4-5D6E-409C-BE32-E72D297353CC}">
              <c16:uniqueId val="{0000001C-8280-4047-A27E-70E1EA690E5C}"/>
            </c:ext>
          </c:extLst>
        </c:ser>
        <c:ser>
          <c:idx val="17"/>
          <c:order val="17"/>
          <c:invertIfNegative val="1"/>
          <c:cat>
            <c:strRef>
              <c:f>'4- VEHICULES UTILITAIRES'!$L$95</c:f>
              <c:strCache>
                <c:ptCount val="1"/>
                <c:pt idx="0">
                  <c:v>Voitures éléctriques louées</c:v>
                </c:pt>
              </c:strCache>
            </c:strRef>
          </c:cat>
          <c:val>
            <c:numRef>
              <c:f>'4- VEHICULES UTILITAIRES'!$O$108</c:f>
              <c:numCache>
                <c:formatCode>0%</c:formatCode>
                <c:ptCount val="1"/>
                <c:pt idx="0">
                  <c:v>0.5</c:v>
                </c:pt>
              </c:numCache>
            </c:numRef>
          </c:val>
          <c:extLst>
            <c:ext xmlns:c16="http://schemas.microsoft.com/office/drawing/2014/chart" uri="{C3380CC4-5D6E-409C-BE32-E72D297353CC}">
              <c16:uniqueId val="{0000001D-8280-4047-A27E-70E1EA690E5C}"/>
            </c:ext>
          </c:extLst>
        </c:ser>
        <c:ser>
          <c:idx val="18"/>
          <c:order val="18"/>
          <c:invertIfNegative val="1"/>
          <c:cat>
            <c:strRef>
              <c:f>'4- VEHICULES UTILITAIRES'!$L$95</c:f>
              <c:strCache>
                <c:ptCount val="1"/>
                <c:pt idx="0">
                  <c:v>Voitures éléctriques louées</c:v>
                </c:pt>
              </c:strCache>
            </c:strRef>
          </c:cat>
          <c:val>
            <c:numRef>
              <c:f>'4- VEHICULES UTILITAIRES'!$O$111</c:f>
              <c:numCache>
                <c:formatCode>0%</c:formatCode>
                <c:ptCount val="1"/>
                <c:pt idx="0">
                  <c:v>0</c:v>
                </c:pt>
              </c:numCache>
            </c:numRef>
          </c:val>
          <c:extLst>
            <c:ext xmlns:c16="http://schemas.microsoft.com/office/drawing/2014/chart" uri="{C3380CC4-5D6E-409C-BE32-E72D297353CC}">
              <c16:uniqueId val="{0000001E-8280-4047-A27E-70E1EA690E5C}"/>
            </c:ext>
          </c:extLst>
        </c:ser>
        <c:ser>
          <c:idx val="19"/>
          <c:order val="19"/>
          <c:invertIfNegative val="1"/>
          <c:cat>
            <c:strRef>
              <c:f>'4- VEHICULES UTILITAIRES'!$L$95</c:f>
              <c:strCache>
                <c:ptCount val="1"/>
                <c:pt idx="0">
                  <c:v>Voitures éléctriques louées</c:v>
                </c:pt>
              </c:strCache>
            </c:strRef>
          </c:cat>
          <c:val>
            <c:numRef>
              <c:f>'4- VEHICULES UTILITAIRES'!$O$114</c:f>
              <c:numCache>
                <c:formatCode>0%</c:formatCode>
                <c:ptCount val="1"/>
                <c:pt idx="0">
                  <c:v>0</c:v>
                </c:pt>
              </c:numCache>
            </c:numRef>
          </c:val>
          <c:extLst>
            <c:ext xmlns:c16="http://schemas.microsoft.com/office/drawing/2014/chart" uri="{C3380CC4-5D6E-409C-BE32-E72D297353CC}">
              <c16:uniqueId val="{0000001F-8280-4047-A27E-70E1EA690E5C}"/>
            </c:ext>
          </c:extLst>
        </c:ser>
        <c:dLbls>
          <c:showLegendKey val="0"/>
          <c:showVal val="0"/>
          <c:showCatName val="0"/>
          <c:showSerName val="0"/>
          <c:showPercent val="0"/>
          <c:showBubbleSize val="0"/>
        </c:dLbls>
        <c:gapWidth val="150"/>
        <c:axId val="2110952925"/>
        <c:axId val="992938002"/>
      </c:barChart>
      <c:catAx>
        <c:axId val="2110952925"/>
        <c:scaling>
          <c:orientation val="maxMin"/>
        </c:scaling>
        <c:delete val="0"/>
        <c:axPos val="l"/>
        <c:title>
          <c:tx>
            <c:rich>
              <a:bodyPr/>
              <a:lstStyle/>
              <a:p>
                <a:pPr lvl="0">
                  <a:defRPr b="0">
                    <a:solidFill>
                      <a:srgbClr val="000000"/>
                    </a:solidFill>
                    <a:latin typeface="+mn-lt"/>
                  </a:defRPr>
                </a:pPr>
                <a:endParaRPr lang="fr-FR"/>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fr-FR"/>
          </a:p>
        </c:txPr>
        <c:crossAx val="992938002"/>
        <c:crosses val="autoZero"/>
        <c:auto val="1"/>
        <c:lblAlgn val="ctr"/>
        <c:lblOffset val="100"/>
        <c:noMultiLvlLbl val="1"/>
      </c:catAx>
      <c:valAx>
        <c:axId val="99293800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fr-FR"/>
          </a:p>
        </c:txPr>
        <c:crossAx val="2110952925"/>
        <c:crosses val="max"/>
        <c:crossBetween val="between"/>
      </c:valAx>
    </c:plotArea>
    <c:legend>
      <c:legendPos val="b"/>
      <c:overlay val="0"/>
      <c:txPr>
        <a:bodyPr/>
        <a:lstStyle/>
        <a:p>
          <a:pPr lvl="0">
            <a:defRPr sz="900" b="0" i="0">
              <a:solidFill>
                <a:srgbClr val="1A1A1A"/>
              </a:solidFill>
              <a:latin typeface="+mn-lt"/>
            </a:defRPr>
          </a:pPr>
          <a:endParaRPr lang="fr-FR"/>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60C6-534C-88B1-1037A6AB8434}"/>
              </c:ext>
            </c:extLst>
          </c:dPt>
          <c:dPt>
            <c:idx val="1"/>
            <c:bubble3D val="0"/>
            <c:spPr>
              <a:solidFill>
                <a:schemeClr val="accent2"/>
              </a:solidFill>
            </c:spPr>
            <c:extLst>
              <c:ext xmlns:c16="http://schemas.microsoft.com/office/drawing/2014/chart" uri="{C3380CC4-5D6E-409C-BE32-E72D297353CC}">
                <c16:uniqueId val="{00000003-60C6-534C-88B1-1037A6AB8434}"/>
              </c:ext>
            </c:extLst>
          </c:dPt>
          <c:dPt>
            <c:idx val="2"/>
            <c:bubble3D val="0"/>
            <c:spPr>
              <a:solidFill>
                <a:schemeClr val="accent3"/>
              </a:solidFill>
            </c:spPr>
            <c:extLst>
              <c:ext xmlns:c16="http://schemas.microsoft.com/office/drawing/2014/chart" uri="{C3380CC4-5D6E-409C-BE32-E72D297353CC}">
                <c16:uniqueId val="{00000005-60C6-534C-88B1-1037A6AB8434}"/>
              </c:ext>
            </c:extLst>
          </c:dPt>
          <c:dPt>
            <c:idx val="3"/>
            <c:bubble3D val="0"/>
            <c:spPr>
              <a:solidFill>
                <a:schemeClr val="accent4"/>
              </a:solidFill>
            </c:spPr>
            <c:extLst>
              <c:ext xmlns:c16="http://schemas.microsoft.com/office/drawing/2014/chart" uri="{C3380CC4-5D6E-409C-BE32-E72D297353CC}">
                <c16:uniqueId val="{00000007-60C6-534C-88B1-1037A6AB8434}"/>
              </c:ext>
            </c:extLst>
          </c:dPt>
          <c:dPt>
            <c:idx val="4"/>
            <c:bubble3D val="0"/>
            <c:spPr>
              <a:solidFill>
                <a:schemeClr val="accent5"/>
              </a:solidFill>
            </c:spPr>
            <c:extLst>
              <c:ext xmlns:c16="http://schemas.microsoft.com/office/drawing/2014/chart" uri="{C3380CC4-5D6E-409C-BE32-E72D297353CC}">
                <c16:uniqueId val="{00000009-60C6-534C-88B1-1037A6AB8434}"/>
              </c:ext>
            </c:extLst>
          </c:dPt>
          <c:dPt>
            <c:idx val="5"/>
            <c:bubble3D val="0"/>
            <c:spPr>
              <a:solidFill>
                <a:schemeClr val="accent6"/>
              </a:solidFill>
            </c:spPr>
            <c:extLst>
              <c:ext xmlns:c16="http://schemas.microsoft.com/office/drawing/2014/chart" uri="{C3380CC4-5D6E-409C-BE32-E72D297353CC}">
                <c16:uniqueId val="{0000000B-60C6-534C-88B1-1037A6AB8434}"/>
              </c:ext>
            </c:extLst>
          </c:dPt>
          <c:dPt>
            <c:idx val="6"/>
            <c:bubble3D val="0"/>
            <c:spPr>
              <a:solidFill>
                <a:schemeClr val="accent1"/>
              </a:solidFill>
            </c:spPr>
            <c:extLst>
              <c:ext xmlns:c16="http://schemas.microsoft.com/office/drawing/2014/chart" uri="{C3380CC4-5D6E-409C-BE32-E72D297353CC}">
                <c16:uniqueId val="{0000000D-60C6-534C-88B1-1037A6AB8434}"/>
              </c:ext>
            </c:extLst>
          </c:dPt>
          <c:dPt>
            <c:idx val="7"/>
            <c:bubble3D val="0"/>
            <c:spPr>
              <a:solidFill>
                <a:schemeClr val="accent2"/>
              </a:solidFill>
            </c:spPr>
            <c:extLst>
              <c:ext xmlns:c16="http://schemas.microsoft.com/office/drawing/2014/chart" uri="{C3380CC4-5D6E-409C-BE32-E72D297353CC}">
                <c16:uniqueId val="{0000000F-60C6-534C-88B1-1037A6AB8434}"/>
              </c:ext>
            </c:extLst>
          </c:dPt>
          <c:dPt>
            <c:idx val="8"/>
            <c:bubble3D val="0"/>
            <c:spPr>
              <a:solidFill>
                <a:schemeClr val="accent3"/>
              </a:solidFill>
            </c:spPr>
            <c:extLst>
              <c:ext xmlns:c16="http://schemas.microsoft.com/office/drawing/2014/chart" uri="{C3380CC4-5D6E-409C-BE32-E72D297353CC}">
                <c16:uniqueId val="{00000011-60C6-534C-88B1-1037A6AB8434}"/>
              </c:ext>
            </c:extLst>
          </c:dPt>
          <c:dPt>
            <c:idx val="9"/>
            <c:bubble3D val="0"/>
            <c:spPr>
              <a:solidFill>
                <a:schemeClr val="accent4"/>
              </a:solidFill>
            </c:spPr>
            <c:extLst>
              <c:ext xmlns:c16="http://schemas.microsoft.com/office/drawing/2014/chart" uri="{C3380CC4-5D6E-409C-BE32-E72D297353CC}">
                <c16:uniqueId val="{00000013-60C6-534C-88B1-1037A6AB843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LEGERS'!$G$110:$G$119</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LEGERS'!$I$110:$I$119</c:f>
              <c:numCache>
                <c:formatCode>General</c:formatCode>
                <c:ptCount val="10"/>
                <c:pt idx="0">
                  <c:v>0</c:v>
                </c:pt>
                <c:pt idx="1">
                  <c:v>2500</c:v>
                </c:pt>
                <c:pt idx="2">
                  <c:v>0</c:v>
                </c:pt>
                <c:pt idx="3">
                  <c:v>0</c:v>
                </c:pt>
                <c:pt idx="4">
                  <c:v>1000</c:v>
                </c:pt>
                <c:pt idx="5">
                  <c:v>0</c:v>
                </c:pt>
                <c:pt idx="6">
                  <c:v>0</c:v>
                </c:pt>
                <c:pt idx="7">
                  <c:v>0</c:v>
                </c:pt>
                <c:pt idx="8">
                  <c:v>100</c:v>
                </c:pt>
                <c:pt idx="9">
                  <c:v>0</c:v>
                </c:pt>
              </c:numCache>
            </c:numRef>
          </c:val>
          <c:extLst>
            <c:ext xmlns:c16="http://schemas.microsoft.com/office/drawing/2014/chart" uri="{C3380CC4-5D6E-409C-BE32-E72D297353CC}">
              <c16:uniqueId val="{00000014-60C6-534C-88B1-1037A6AB8434}"/>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1" i="0">
                <a:solidFill>
                  <a:srgbClr val="757575"/>
                </a:solidFill>
                <a:latin typeface="+mn-lt"/>
              </a:defRPr>
            </a:pPr>
            <a:r>
              <a:rPr lang="fr-FR" sz="1400" b="1" i="0">
                <a:solidFill>
                  <a:srgbClr val="757575"/>
                </a:solidFill>
                <a:latin typeface="+mn-lt"/>
              </a:rPr>
              <a:t>En nombre de kms</a:t>
            </a:r>
          </a:p>
        </c:rich>
      </c:tx>
      <c:overlay val="0"/>
    </c:title>
    <c:autoTitleDeleted val="0"/>
    <c:plotArea>
      <c:layout/>
      <c:barChart>
        <c:barDir val="bar"/>
        <c:grouping val="clustered"/>
        <c:varyColors val="1"/>
        <c:ser>
          <c:idx val="0"/>
          <c:order val="0"/>
          <c:spPr>
            <a:solidFill>
              <a:srgbClr val="4472C4"/>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UTILITAIRES'!$L$99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A3B-7B42-8133-C541839D4947}"/>
            </c:ext>
          </c:extLst>
        </c:ser>
        <c:ser>
          <c:idx val="1"/>
          <c:order val="1"/>
          <c:spPr>
            <a:solidFill>
              <a:srgbClr val="ED7D31"/>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2-EA3B-7B42-8133-C541839D4947}"/>
              </c:ext>
            </c:extLst>
          </c:dPt>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4-EA3B-7B42-8133-C541839D4947}"/>
              </c:ext>
            </c:extLst>
          </c:dPt>
          <c:dPt>
            <c:idx val="3"/>
            <c:invertIfNegative val="1"/>
            <c:bubble3D val="0"/>
            <c:spPr>
              <a:solidFill>
                <a:srgbClr val="C00000"/>
              </a:solidFill>
              <a:ln cmpd="sng">
                <a:solidFill>
                  <a:srgbClr val="000000"/>
                </a:solidFill>
              </a:ln>
            </c:spPr>
            <c:extLst>
              <c:ext xmlns:c16="http://schemas.microsoft.com/office/drawing/2014/chart" uri="{C3380CC4-5D6E-409C-BE32-E72D297353CC}">
                <c16:uniqueId val="{00000006-EA3B-7B42-8133-C541839D4947}"/>
              </c:ext>
            </c:extLst>
          </c:dPt>
          <c:dPt>
            <c:idx val="5"/>
            <c:invertIfNegative val="1"/>
            <c:bubble3D val="0"/>
            <c:spPr>
              <a:solidFill>
                <a:srgbClr val="FF4940"/>
              </a:solidFill>
              <a:ln cmpd="sng">
                <a:solidFill>
                  <a:srgbClr val="000000"/>
                </a:solidFill>
              </a:ln>
            </c:spPr>
            <c:extLst>
              <c:ext xmlns:c16="http://schemas.microsoft.com/office/drawing/2014/chart" uri="{C3380CC4-5D6E-409C-BE32-E72D297353CC}">
                <c16:uniqueId val="{00000008-EA3B-7B42-8133-C541839D4947}"/>
              </c:ext>
            </c:extLst>
          </c:dPt>
          <c:dPt>
            <c:idx val="6"/>
            <c:invertIfNegative val="1"/>
            <c:bubble3D val="0"/>
            <c:spPr>
              <a:solidFill>
                <a:srgbClr val="002060"/>
              </a:solidFill>
              <a:ln cmpd="sng">
                <a:solidFill>
                  <a:srgbClr val="000000"/>
                </a:solidFill>
              </a:ln>
            </c:spPr>
            <c:extLst>
              <c:ext xmlns:c16="http://schemas.microsoft.com/office/drawing/2014/chart" uri="{C3380CC4-5D6E-409C-BE32-E72D297353CC}">
                <c16:uniqueId val="{0000000A-EA3B-7B42-8133-C541839D4947}"/>
              </c:ext>
            </c:extLst>
          </c:dPt>
          <c:cat>
            <c:strRef>
              <c:f>'4- VEHICULES UTILITAIRES'!$L$96</c:f>
              <c:strCache>
                <c:ptCount val="1"/>
                <c:pt idx="0">
                  <c:v>Nb de kms des voitures éléctriques</c:v>
                </c:pt>
              </c:strCache>
            </c:strRef>
          </c:cat>
          <c:val>
            <c:numRef>
              <c:f>'4- VEHICULES UTILITAIRES'!$L$102</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EA3B-7B42-8133-C541839D4947}"/>
            </c:ext>
          </c:extLst>
        </c:ser>
        <c:ser>
          <c:idx val="2"/>
          <c:order val="2"/>
          <c:spPr>
            <a:solidFill>
              <a:srgbClr val="A5A5A5"/>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UTILITAIRES'!$L$105</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EA3B-7B42-8133-C541839D4947}"/>
            </c:ext>
          </c:extLst>
        </c:ser>
        <c:ser>
          <c:idx val="3"/>
          <c:order val="3"/>
          <c:spPr>
            <a:solidFill>
              <a:srgbClr val="FFC000"/>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UTILITAIRES'!$L$109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EA3B-7B42-8133-C541839D4947}"/>
            </c:ext>
          </c:extLst>
        </c:ser>
        <c:ser>
          <c:idx val="4"/>
          <c:order val="4"/>
          <c:spPr>
            <a:solidFill>
              <a:srgbClr val="5B9BD5"/>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UTILITAIRES'!$L$112</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EA3B-7B42-8133-C541839D4947}"/>
            </c:ext>
          </c:extLst>
        </c:ser>
        <c:ser>
          <c:idx val="5"/>
          <c:order val="5"/>
          <c:spPr>
            <a:solidFill>
              <a:srgbClr val="70AD47"/>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UTILITAIRES'!$L$115</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EA3B-7B42-8133-C541839D4947}"/>
            </c:ext>
          </c:extLst>
        </c:ser>
        <c:ser>
          <c:idx val="6"/>
          <c:order val="6"/>
          <c:spPr>
            <a:solidFill>
              <a:srgbClr val="B8CAE9"/>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UTILITAIRES'!$M$96</c:f>
              <c:numCache>
                <c:formatCode>General</c:formatCode>
                <c:ptCount val="1"/>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EA3B-7B42-8133-C541839D4947}"/>
            </c:ext>
          </c:extLst>
        </c:ser>
        <c:ser>
          <c:idx val="7"/>
          <c:order val="7"/>
          <c:invertIfNegative val="1"/>
          <c:cat>
            <c:strRef>
              <c:f>'4- VEHICULES UTILITAIRES'!$L$96</c:f>
              <c:strCache>
                <c:ptCount val="1"/>
                <c:pt idx="0">
                  <c:v>Nb de kms des voitures éléctriques</c:v>
                </c:pt>
              </c:strCache>
            </c:strRef>
          </c:cat>
          <c:val>
            <c:numRef>
              <c:f>'4- VEHICULES UTILITAIRES'!$M$99</c:f>
              <c:numCache>
                <c:formatCode>General</c:formatCode>
                <c:ptCount val="1"/>
              </c:numCache>
            </c:numRef>
          </c:val>
          <c:extLst>
            <c:ext xmlns:c16="http://schemas.microsoft.com/office/drawing/2014/chart" uri="{C3380CC4-5D6E-409C-BE32-E72D297353CC}">
              <c16:uniqueId val="{00000011-EA3B-7B42-8133-C541839D4947}"/>
            </c:ext>
          </c:extLst>
        </c:ser>
        <c:ser>
          <c:idx val="8"/>
          <c:order val="8"/>
          <c:invertIfNegative val="1"/>
          <c:cat>
            <c:strRef>
              <c:f>'4- VEHICULES UTILITAIRES'!$L$96</c:f>
              <c:strCache>
                <c:ptCount val="1"/>
                <c:pt idx="0">
                  <c:v>Nb de kms des voitures éléctriques</c:v>
                </c:pt>
              </c:strCache>
            </c:strRef>
          </c:cat>
          <c:val>
            <c:numRef>
              <c:f>'4- VEHICULES UTILITAIRES'!$M$102</c:f>
              <c:numCache>
                <c:formatCode>General</c:formatCode>
                <c:ptCount val="1"/>
              </c:numCache>
            </c:numRef>
          </c:val>
          <c:extLst>
            <c:ext xmlns:c16="http://schemas.microsoft.com/office/drawing/2014/chart" uri="{C3380CC4-5D6E-409C-BE32-E72D297353CC}">
              <c16:uniqueId val="{00000012-EA3B-7B42-8133-C541839D4947}"/>
            </c:ext>
          </c:extLst>
        </c:ser>
        <c:ser>
          <c:idx val="9"/>
          <c:order val="9"/>
          <c:invertIfNegative val="1"/>
          <c:cat>
            <c:strRef>
              <c:f>'4- VEHICULES UTILITAIRES'!$L$96</c:f>
              <c:strCache>
                <c:ptCount val="1"/>
                <c:pt idx="0">
                  <c:v>Nb de kms des voitures éléctriques</c:v>
                </c:pt>
              </c:strCache>
            </c:strRef>
          </c:cat>
          <c:val>
            <c:numRef>
              <c:f>'4- VEHICULES UTILITAIRES'!$M$105</c:f>
              <c:numCache>
                <c:formatCode>General</c:formatCode>
                <c:ptCount val="1"/>
              </c:numCache>
            </c:numRef>
          </c:val>
          <c:extLst>
            <c:ext xmlns:c16="http://schemas.microsoft.com/office/drawing/2014/chart" uri="{C3380CC4-5D6E-409C-BE32-E72D297353CC}">
              <c16:uniqueId val="{00000013-EA3B-7B42-8133-C541839D4947}"/>
            </c:ext>
          </c:extLst>
        </c:ser>
        <c:ser>
          <c:idx val="10"/>
          <c:order val="10"/>
          <c:invertIfNegative val="1"/>
          <c:cat>
            <c:strRef>
              <c:f>'4- VEHICULES UTILITAIRES'!$L$96</c:f>
              <c:strCache>
                <c:ptCount val="1"/>
                <c:pt idx="0">
                  <c:v>Nb de kms des voitures éléctriques</c:v>
                </c:pt>
              </c:strCache>
            </c:strRef>
          </c:cat>
          <c:val>
            <c:numRef>
              <c:f>'4- VEHICULES UTILITAIRES'!$M$109</c:f>
              <c:numCache>
                <c:formatCode>General</c:formatCode>
                <c:ptCount val="1"/>
              </c:numCache>
            </c:numRef>
          </c:val>
          <c:extLst>
            <c:ext xmlns:c16="http://schemas.microsoft.com/office/drawing/2014/chart" uri="{C3380CC4-5D6E-409C-BE32-E72D297353CC}">
              <c16:uniqueId val="{00000014-EA3B-7B42-8133-C541839D4947}"/>
            </c:ext>
          </c:extLst>
        </c:ser>
        <c:ser>
          <c:idx val="11"/>
          <c:order val="11"/>
          <c:invertIfNegative val="1"/>
          <c:cat>
            <c:strRef>
              <c:f>'4- VEHICULES UTILITAIRES'!$L$96</c:f>
              <c:strCache>
                <c:ptCount val="1"/>
                <c:pt idx="0">
                  <c:v>Nb de kms des voitures éléctriques</c:v>
                </c:pt>
              </c:strCache>
            </c:strRef>
          </c:cat>
          <c:val>
            <c:numRef>
              <c:f>'4- VEHICULES UTILITAIRES'!$M$112</c:f>
              <c:numCache>
                <c:formatCode>General</c:formatCode>
                <c:ptCount val="1"/>
              </c:numCache>
            </c:numRef>
          </c:val>
          <c:extLst>
            <c:ext xmlns:c16="http://schemas.microsoft.com/office/drawing/2014/chart" uri="{C3380CC4-5D6E-409C-BE32-E72D297353CC}">
              <c16:uniqueId val="{00000015-EA3B-7B42-8133-C541839D4947}"/>
            </c:ext>
          </c:extLst>
        </c:ser>
        <c:ser>
          <c:idx val="12"/>
          <c:order val="12"/>
          <c:invertIfNegative val="1"/>
          <c:cat>
            <c:strRef>
              <c:f>'4- VEHICULES UTILITAIRES'!$L$96</c:f>
              <c:strCache>
                <c:ptCount val="1"/>
                <c:pt idx="0">
                  <c:v>Nb de kms des voitures éléctriques</c:v>
                </c:pt>
              </c:strCache>
            </c:strRef>
          </c:cat>
          <c:val>
            <c:numRef>
              <c:f>'4- VEHICULES UTILITAIRES'!$M$115</c:f>
              <c:numCache>
                <c:formatCode>General</c:formatCode>
                <c:ptCount val="1"/>
              </c:numCache>
            </c:numRef>
          </c:val>
          <c:extLst>
            <c:ext xmlns:c16="http://schemas.microsoft.com/office/drawing/2014/chart" uri="{C3380CC4-5D6E-409C-BE32-E72D297353CC}">
              <c16:uniqueId val="{00000016-EA3B-7B42-8133-C541839D4947}"/>
            </c:ext>
          </c:extLst>
        </c:ser>
        <c:ser>
          <c:idx val="13"/>
          <c:order val="13"/>
          <c:invertIfNegative val="1"/>
          <c:cat>
            <c:strRef>
              <c:f>'4- VEHICULES UTILITAIRES'!$L$96</c:f>
              <c:strCache>
                <c:ptCount val="1"/>
                <c:pt idx="0">
                  <c:v>Nb de kms des voitures éléctriques</c:v>
                </c:pt>
              </c:strCache>
            </c:strRef>
          </c:cat>
          <c:val>
            <c:numRef>
              <c:f>'4- VEHICULES UTILITAIRES'!$O$96</c:f>
              <c:numCache>
                <c:formatCode>0%</c:formatCode>
                <c:ptCount val="1"/>
                <c:pt idx="0">
                  <c:v>0</c:v>
                </c:pt>
              </c:numCache>
            </c:numRef>
          </c:val>
          <c:extLst>
            <c:ext xmlns:c16="http://schemas.microsoft.com/office/drawing/2014/chart" uri="{C3380CC4-5D6E-409C-BE32-E72D297353CC}">
              <c16:uniqueId val="{00000017-EA3B-7B42-8133-C541839D4947}"/>
            </c:ext>
          </c:extLst>
        </c:ser>
        <c:ser>
          <c:idx val="14"/>
          <c:order val="14"/>
          <c:invertIfNegative val="1"/>
          <c:cat>
            <c:strRef>
              <c:f>'4- VEHICULES UTILITAIRES'!$L$96</c:f>
              <c:strCache>
                <c:ptCount val="1"/>
                <c:pt idx="0">
                  <c:v>Nb de kms des voitures éléctriques</c:v>
                </c:pt>
              </c:strCache>
            </c:strRef>
          </c:cat>
          <c:val>
            <c:numRef>
              <c:f>'4- VEHICULES UTILITAIRES'!$O$99</c:f>
              <c:numCache>
                <c:formatCode>0%</c:formatCode>
                <c:ptCount val="1"/>
                <c:pt idx="0">
                  <c:v>0</c:v>
                </c:pt>
              </c:numCache>
            </c:numRef>
          </c:val>
          <c:extLst>
            <c:ext xmlns:c16="http://schemas.microsoft.com/office/drawing/2014/chart" uri="{C3380CC4-5D6E-409C-BE32-E72D297353CC}">
              <c16:uniqueId val="{00000018-EA3B-7B42-8133-C541839D4947}"/>
            </c:ext>
          </c:extLst>
        </c:ser>
        <c:ser>
          <c:idx val="15"/>
          <c:order val="15"/>
          <c:invertIfNegative val="1"/>
          <c:cat>
            <c:strRef>
              <c:f>'4- VEHICULES UTILITAIRES'!$L$96</c:f>
              <c:strCache>
                <c:ptCount val="1"/>
                <c:pt idx="0">
                  <c:v>Nb de kms des voitures éléctriques</c:v>
                </c:pt>
              </c:strCache>
            </c:strRef>
          </c:cat>
          <c:val>
            <c:numRef>
              <c:f>'4- VEHICULES UTILITAIRES'!$O$102</c:f>
              <c:numCache>
                <c:formatCode>0%</c:formatCode>
                <c:ptCount val="1"/>
                <c:pt idx="0">
                  <c:v>0</c:v>
                </c:pt>
              </c:numCache>
            </c:numRef>
          </c:val>
          <c:extLst>
            <c:ext xmlns:c16="http://schemas.microsoft.com/office/drawing/2014/chart" uri="{C3380CC4-5D6E-409C-BE32-E72D297353CC}">
              <c16:uniqueId val="{00000019-EA3B-7B42-8133-C541839D4947}"/>
            </c:ext>
          </c:extLst>
        </c:ser>
        <c:ser>
          <c:idx val="16"/>
          <c:order val="16"/>
          <c:invertIfNegative val="1"/>
          <c:cat>
            <c:strRef>
              <c:f>'4- VEHICULES UTILITAIRES'!$L$96</c:f>
              <c:strCache>
                <c:ptCount val="1"/>
                <c:pt idx="0">
                  <c:v>Nb de kms des voitures éléctriques</c:v>
                </c:pt>
              </c:strCache>
            </c:strRef>
          </c:cat>
          <c:val>
            <c:numRef>
              <c:f>'4- VEHICULES UTILITAIRES'!$O$105</c:f>
              <c:numCache>
                <c:formatCode>0%</c:formatCode>
                <c:ptCount val="1"/>
                <c:pt idx="0">
                  <c:v>0.6</c:v>
                </c:pt>
              </c:numCache>
            </c:numRef>
          </c:val>
          <c:extLst>
            <c:ext xmlns:c16="http://schemas.microsoft.com/office/drawing/2014/chart" uri="{C3380CC4-5D6E-409C-BE32-E72D297353CC}">
              <c16:uniqueId val="{0000001A-EA3B-7B42-8133-C541839D4947}"/>
            </c:ext>
          </c:extLst>
        </c:ser>
        <c:ser>
          <c:idx val="17"/>
          <c:order val="17"/>
          <c:invertIfNegative val="1"/>
          <c:cat>
            <c:strRef>
              <c:f>'4- VEHICULES UTILITAIRES'!$L$96</c:f>
              <c:strCache>
                <c:ptCount val="1"/>
                <c:pt idx="0">
                  <c:v>Nb de kms des voitures éléctriques</c:v>
                </c:pt>
              </c:strCache>
            </c:strRef>
          </c:cat>
          <c:val>
            <c:numRef>
              <c:f>'4- VEHICULES UTILITAIRES'!$O$109</c:f>
              <c:numCache>
                <c:formatCode>0%</c:formatCode>
                <c:ptCount val="1"/>
                <c:pt idx="0">
                  <c:v>0.4</c:v>
                </c:pt>
              </c:numCache>
            </c:numRef>
          </c:val>
          <c:extLst>
            <c:ext xmlns:c16="http://schemas.microsoft.com/office/drawing/2014/chart" uri="{C3380CC4-5D6E-409C-BE32-E72D297353CC}">
              <c16:uniqueId val="{0000001B-EA3B-7B42-8133-C541839D4947}"/>
            </c:ext>
          </c:extLst>
        </c:ser>
        <c:ser>
          <c:idx val="18"/>
          <c:order val="18"/>
          <c:invertIfNegative val="1"/>
          <c:cat>
            <c:strRef>
              <c:f>'4- VEHICULES UTILITAIRES'!$L$96</c:f>
              <c:strCache>
                <c:ptCount val="1"/>
                <c:pt idx="0">
                  <c:v>Nb de kms des voitures éléctriques</c:v>
                </c:pt>
              </c:strCache>
            </c:strRef>
          </c:cat>
          <c:val>
            <c:numRef>
              <c:f>'4- VEHICULES UTILITAIRES'!$O$112</c:f>
              <c:numCache>
                <c:formatCode>0%</c:formatCode>
                <c:ptCount val="1"/>
                <c:pt idx="0">
                  <c:v>0</c:v>
                </c:pt>
              </c:numCache>
            </c:numRef>
          </c:val>
          <c:extLst>
            <c:ext xmlns:c16="http://schemas.microsoft.com/office/drawing/2014/chart" uri="{C3380CC4-5D6E-409C-BE32-E72D297353CC}">
              <c16:uniqueId val="{0000001C-EA3B-7B42-8133-C541839D4947}"/>
            </c:ext>
          </c:extLst>
        </c:ser>
        <c:ser>
          <c:idx val="19"/>
          <c:order val="19"/>
          <c:invertIfNegative val="1"/>
          <c:cat>
            <c:strRef>
              <c:f>'4- VEHICULES UTILITAIRES'!$L$96</c:f>
              <c:strCache>
                <c:ptCount val="1"/>
                <c:pt idx="0">
                  <c:v>Nb de kms des voitures éléctriques</c:v>
                </c:pt>
              </c:strCache>
            </c:strRef>
          </c:cat>
          <c:val>
            <c:numRef>
              <c:f>'4- VEHICULES UTILITAIRES'!$O$115</c:f>
              <c:numCache>
                <c:formatCode>0%</c:formatCode>
                <c:ptCount val="1"/>
                <c:pt idx="0">
                  <c:v>0</c:v>
                </c:pt>
              </c:numCache>
            </c:numRef>
          </c:val>
          <c:extLst>
            <c:ext xmlns:c16="http://schemas.microsoft.com/office/drawing/2014/chart" uri="{C3380CC4-5D6E-409C-BE32-E72D297353CC}">
              <c16:uniqueId val="{0000001D-EA3B-7B42-8133-C541839D4947}"/>
            </c:ext>
          </c:extLst>
        </c:ser>
        <c:dLbls>
          <c:showLegendKey val="0"/>
          <c:showVal val="0"/>
          <c:showCatName val="0"/>
          <c:showSerName val="0"/>
          <c:showPercent val="0"/>
          <c:showBubbleSize val="0"/>
        </c:dLbls>
        <c:gapWidth val="150"/>
        <c:axId val="750163167"/>
        <c:axId val="307386311"/>
      </c:barChart>
      <c:catAx>
        <c:axId val="750163167"/>
        <c:scaling>
          <c:orientation val="maxMin"/>
        </c:scaling>
        <c:delete val="0"/>
        <c:axPos val="l"/>
        <c:title>
          <c:tx>
            <c:rich>
              <a:bodyPr/>
              <a:lstStyle/>
              <a:p>
                <a:pPr lvl="0">
                  <a:defRPr b="0">
                    <a:solidFill>
                      <a:srgbClr val="000000"/>
                    </a:solidFill>
                    <a:latin typeface="+mn-lt"/>
                  </a:defRPr>
                </a:pPr>
                <a:endParaRPr lang="fr-FR"/>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fr-FR"/>
          </a:p>
        </c:txPr>
        <c:crossAx val="307386311"/>
        <c:crosses val="autoZero"/>
        <c:auto val="1"/>
        <c:lblAlgn val="ctr"/>
        <c:lblOffset val="100"/>
        <c:noMultiLvlLbl val="1"/>
      </c:catAx>
      <c:valAx>
        <c:axId val="307386311"/>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fr-FR"/>
          </a:p>
        </c:txPr>
        <c:crossAx val="750163167"/>
        <c:crosses val="max"/>
        <c:crossBetween val="between"/>
      </c:valAx>
    </c:plotArea>
    <c:legend>
      <c:legendPos val="b"/>
      <c:overlay val="0"/>
      <c:txPr>
        <a:bodyPr/>
        <a:lstStyle/>
        <a:p>
          <a:pPr lvl="0">
            <a:defRPr sz="900" b="0" i="0">
              <a:solidFill>
                <a:srgbClr val="1A1A1A"/>
              </a:solidFill>
              <a:latin typeface="+mn-lt"/>
            </a:defRPr>
          </a:pPr>
          <a:endParaRPr lang="fr-FR"/>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Prépa</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994A-5645-B2DE-CDF5681A4DBD}"/>
              </c:ext>
            </c:extLst>
          </c:dPt>
          <c:dPt>
            <c:idx val="1"/>
            <c:bubble3D val="0"/>
            <c:spPr>
              <a:solidFill>
                <a:schemeClr val="accent2"/>
              </a:solidFill>
            </c:spPr>
            <c:extLst>
              <c:ext xmlns:c16="http://schemas.microsoft.com/office/drawing/2014/chart" uri="{C3380CC4-5D6E-409C-BE32-E72D297353CC}">
                <c16:uniqueId val="{00000003-994A-5645-B2DE-CDF5681A4DBD}"/>
              </c:ext>
            </c:extLst>
          </c:dPt>
          <c:dPt>
            <c:idx val="2"/>
            <c:bubble3D val="0"/>
            <c:spPr>
              <a:solidFill>
                <a:schemeClr val="accent3"/>
              </a:solidFill>
            </c:spPr>
            <c:extLst>
              <c:ext xmlns:c16="http://schemas.microsoft.com/office/drawing/2014/chart" uri="{C3380CC4-5D6E-409C-BE32-E72D297353CC}">
                <c16:uniqueId val="{00000005-994A-5645-B2DE-CDF5681A4DBD}"/>
              </c:ext>
            </c:extLst>
          </c:dPt>
          <c:dPt>
            <c:idx val="3"/>
            <c:bubble3D val="0"/>
            <c:spPr>
              <a:solidFill>
                <a:schemeClr val="accent4"/>
              </a:solidFill>
            </c:spPr>
            <c:extLst>
              <c:ext xmlns:c16="http://schemas.microsoft.com/office/drawing/2014/chart" uri="{C3380CC4-5D6E-409C-BE32-E72D297353CC}">
                <c16:uniqueId val="{00000007-994A-5645-B2DE-CDF5681A4DBD}"/>
              </c:ext>
            </c:extLst>
          </c:dPt>
          <c:dPt>
            <c:idx val="4"/>
            <c:bubble3D val="0"/>
            <c:spPr>
              <a:solidFill>
                <a:schemeClr val="accent5"/>
              </a:solidFill>
            </c:spPr>
            <c:extLst>
              <c:ext xmlns:c16="http://schemas.microsoft.com/office/drawing/2014/chart" uri="{C3380CC4-5D6E-409C-BE32-E72D297353CC}">
                <c16:uniqueId val="{00000009-994A-5645-B2DE-CDF5681A4DBD}"/>
              </c:ext>
            </c:extLst>
          </c:dPt>
          <c:dPt>
            <c:idx val="5"/>
            <c:bubble3D val="0"/>
            <c:spPr>
              <a:solidFill>
                <a:schemeClr val="accent6"/>
              </a:solidFill>
            </c:spPr>
            <c:extLst>
              <c:ext xmlns:c16="http://schemas.microsoft.com/office/drawing/2014/chart" uri="{C3380CC4-5D6E-409C-BE32-E72D297353CC}">
                <c16:uniqueId val="{0000000B-994A-5645-B2DE-CDF5681A4DB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'4- VEHICULES UTILITAIRES'!$J$122:$J$127</c:f>
              <c:strCache>
                <c:ptCount val="6"/>
                <c:pt idx="0">
                  <c:v>Camionette</c:v>
                </c:pt>
                <c:pt idx="1">
                  <c:v>Camion &lt;7t</c:v>
                </c:pt>
                <c:pt idx="2">
                  <c:v>Camion &gt;7t</c:v>
                </c:pt>
                <c:pt idx="3">
                  <c:v>Fret - avion</c:v>
                </c:pt>
                <c:pt idx="4">
                  <c:v>Fret - train</c:v>
                </c:pt>
                <c:pt idx="5">
                  <c:v>Fret - bateau</c:v>
                </c:pt>
              </c:strCache>
            </c:strRef>
          </c:cat>
          <c:val>
            <c:numRef>
              <c:f>'4- VEHICULES UTILITAIRES'!$K$122:$K$127</c:f>
              <c:numCache>
                <c:formatCode>General</c:formatCode>
                <c:ptCount val="6"/>
                <c:pt idx="0">
                  <c:v>1500</c:v>
                </c:pt>
                <c:pt idx="1">
                  <c:v>0</c:v>
                </c:pt>
                <c:pt idx="2">
                  <c:v>0</c:v>
                </c:pt>
                <c:pt idx="3">
                  <c:v>0</c:v>
                </c:pt>
                <c:pt idx="4">
                  <c:v>0</c:v>
                </c:pt>
                <c:pt idx="5">
                  <c:v>0</c:v>
                </c:pt>
              </c:numCache>
            </c:numRef>
          </c:val>
          <c:extLst>
            <c:ext xmlns:c16="http://schemas.microsoft.com/office/drawing/2014/chart" uri="{C3380CC4-5D6E-409C-BE32-E72D297353CC}">
              <c16:uniqueId val="{0000000C-994A-5645-B2DE-CDF5681A4DBD}"/>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Tournage</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C473-E843-BB47-C72344BBDADD}"/>
              </c:ext>
            </c:extLst>
          </c:dPt>
          <c:dPt>
            <c:idx val="1"/>
            <c:bubble3D val="0"/>
            <c:spPr>
              <a:solidFill>
                <a:schemeClr val="accent2"/>
              </a:solidFill>
            </c:spPr>
            <c:extLst>
              <c:ext xmlns:c16="http://schemas.microsoft.com/office/drawing/2014/chart" uri="{C3380CC4-5D6E-409C-BE32-E72D297353CC}">
                <c16:uniqueId val="{00000003-C473-E843-BB47-C72344BBDADD}"/>
              </c:ext>
            </c:extLst>
          </c:dPt>
          <c:dPt>
            <c:idx val="2"/>
            <c:bubble3D val="0"/>
            <c:spPr>
              <a:solidFill>
                <a:schemeClr val="accent3"/>
              </a:solidFill>
            </c:spPr>
            <c:extLst>
              <c:ext xmlns:c16="http://schemas.microsoft.com/office/drawing/2014/chart" uri="{C3380CC4-5D6E-409C-BE32-E72D297353CC}">
                <c16:uniqueId val="{00000005-C473-E843-BB47-C72344BBDADD}"/>
              </c:ext>
            </c:extLst>
          </c:dPt>
          <c:dPt>
            <c:idx val="3"/>
            <c:bubble3D val="0"/>
            <c:spPr>
              <a:solidFill>
                <a:schemeClr val="accent4"/>
              </a:solidFill>
            </c:spPr>
            <c:extLst>
              <c:ext xmlns:c16="http://schemas.microsoft.com/office/drawing/2014/chart" uri="{C3380CC4-5D6E-409C-BE32-E72D297353CC}">
                <c16:uniqueId val="{00000007-C473-E843-BB47-C72344BBDADD}"/>
              </c:ext>
            </c:extLst>
          </c:dPt>
          <c:dPt>
            <c:idx val="4"/>
            <c:bubble3D val="0"/>
            <c:spPr>
              <a:solidFill>
                <a:schemeClr val="accent5"/>
              </a:solidFill>
            </c:spPr>
            <c:extLst>
              <c:ext xmlns:c16="http://schemas.microsoft.com/office/drawing/2014/chart" uri="{C3380CC4-5D6E-409C-BE32-E72D297353CC}">
                <c16:uniqueId val="{00000009-C473-E843-BB47-C72344BBDADD}"/>
              </c:ext>
            </c:extLst>
          </c:dPt>
          <c:dPt>
            <c:idx val="5"/>
            <c:bubble3D val="0"/>
            <c:spPr>
              <a:solidFill>
                <a:schemeClr val="accent6"/>
              </a:solidFill>
            </c:spPr>
            <c:extLst>
              <c:ext xmlns:c16="http://schemas.microsoft.com/office/drawing/2014/chart" uri="{C3380CC4-5D6E-409C-BE32-E72D297353CC}">
                <c16:uniqueId val="{0000000B-C473-E843-BB47-C72344BBDAD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'4- VEHICULES UTILITAIRES'!$J$122:$J$127</c:f>
              <c:strCache>
                <c:ptCount val="6"/>
                <c:pt idx="0">
                  <c:v>Camionette</c:v>
                </c:pt>
                <c:pt idx="1">
                  <c:v>Camion &lt;7t</c:v>
                </c:pt>
                <c:pt idx="2">
                  <c:v>Camion &gt;7t</c:v>
                </c:pt>
                <c:pt idx="3">
                  <c:v>Fret - avion</c:v>
                </c:pt>
                <c:pt idx="4">
                  <c:v>Fret - train</c:v>
                </c:pt>
                <c:pt idx="5">
                  <c:v>Fret - bateau</c:v>
                </c:pt>
              </c:strCache>
            </c:strRef>
          </c:cat>
          <c:val>
            <c:numRef>
              <c:f>'4- VEHICULES UTILITAIRES'!$L$122:$L$127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473-E843-BB47-C72344BBDADD}"/>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Finitions &amp; Post-production</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E3C9-124C-912F-93F0C48242F3}"/>
              </c:ext>
            </c:extLst>
          </c:dPt>
          <c:dPt>
            <c:idx val="1"/>
            <c:bubble3D val="0"/>
            <c:spPr>
              <a:solidFill>
                <a:schemeClr val="accent2"/>
              </a:solidFill>
            </c:spPr>
            <c:extLst>
              <c:ext xmlns:c16="http://schemas.microsoft.com/office/drawing/2014/chart" uri="{C3380CC4-5D6E-409C-BE32-E72D297353CC}">
                <c16:uniqueId val="{00000003-E3C9-124C-912F-93F0C48242F3}"/>
              </c:ext>
            </c:extLst>
          </c:dPt>
          <c:dPt>
            <c:idx val="2"/>
            <c:bubble3D val="0"/>
            <c:spPr>
              <a:solidFill>
                <a:schemeClr val="accent3"/>
              </a:solidFill>
            </c:spPr>
            <c:extLst>
              <c:ext xmlns:c16="http://schemas.microsoft.com/office/drawing/2014/chart" uri="{C3380CC4-5D6E-409C-BE32-E72D297353CC}">
                <c16:uniqueId val="{00000005-E3C9-124C-912F-93F0C48242F3}"/>
              </c:ext>
            </c:extLst>
          </c:dPt>
          <c:dPt>
            <c:idx val="3"/>
            <c:bubble3D val="0"/>
            <c:spPr>
              <a:solidFill>
                <a:schemeClr val="accent4"/>
              </a:solidFill>
            </c:spPr>
            <c:extLst>
              <c:ext xmlns:c16="http://schemas.microsoft.com/office/drawing/2014/chart" uri="{C3380CC4-5D6E-409C-BE32-E72D297353CC}">
                <c16:uniqueId val="{00000007-E3C9-124C-912F-93F0C48242F3}"/>
              </c:ext>
            </c:extLst>
          </c:dPt>
          <c:dPt>
            <c:idx val="4"/>
            <c:bubble3D val="0"/>
            <c:spPr>
              <a:solidFill>
                <a:schemeClr val="accent5"/>
              </a:solidFill>
            </c:spPr>
            <c:extLst>
              <c:ext xmlns:c16="http://schemas.microsoft.com/office/drawing/2014/chart" uri="{C3380CC4-5D6E-409C-BE32-E72D297353CC}">
                <c16:uniqueId val="{00000009-E3C9-124C-912F-93F0C48242F3}"/>
              </c:ext>
            </c:extLst>
          </c:dPt>
          <c:dPt>
            <c:idx val="5"/>
            <c:bubble3D val="0"/>
            <c:spPr>
              <a:solidFill>
                <a:schemeClr val="accent6"/>
              </a:solidFill>
            </c:spPr>
            <c:extLst>
              <c:ext xmlns:c16="http://schemas.microsoft.com/office/drawing/2014/chart" uri="{C3380CC4-5D6E-409C-BE32-E72D297353CC}">
                <c16:uniqueId val="{0000000B-E3C9-124C-912F-93F0C48242F3}"/>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'4- VEHICULES UTILITAIRES'!$J$122:$J$127</c:f>
              <c:strCache>
                <c:ptCount val="6"/>
                <c:pt idx="0">
                  <c:v>Camionette</c:v>
                </c:pt>
                <c:pt idx="1">
                  <c:v>Camion &lt;7t</c:v>
                </c:pt>
                <c:pt idx="2">
                  <c:v>Camion &gt;7t</c:v>
                </c:pt>
                <c:pt idx="3">
                  <c:v>Fret - avion</c:v>
                </c:pt>
                <c:pt idx="4">
                  <c:v>Fret - train</c:v>
                </c:pt>
                <c:pt idx="5">
                  <c:v>Fret - bateau</c:v>
                </c:pt>
              </c:strCache>
            </c:strRef>
          </c:cat>
          <c:val>
            <c:numRef>
              <c:f>'4- VEHICULES UTILITAIRES'!$M$122:$M$127</c:f>
              <c:numCache>
                <c:formatCode>General</c:formatCode>
                <c:ptCount val="6"/>
                <c:pt idx="0">
                  <c:v>0</c:v>
                </c:pt>
                <c:pt idx="1">
                  <c:v>0</c:v>
                </c:pt>
                <c:pt idx="2">
                  <c:v>0</c:v>
                </c:pt>
                <c:pt idx="3">
                  <c:v>0</c:v>
                </c:pt>
                <c:pt idx="4">
                  <c:v>1000</c:v>
                </c:pt>
                <c:pt idx="5">
                  <c:v>0</c:v>
                </c:pt>
              </c:numCache>
            </c:numRef>
          </c:val>
          <c:extLst>
            <c:ext xmlns:c16="http://schemas.microsoft.com/office/drawing/2014/chart" uri="{C3380CC4-5D6E-409C-BE32-E72D297353CC}">
              <c16:uniqueId val="{0000000C-E3C9-124C-912F-93F0C48242F3}"/>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Durée totale de la production</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2FA1-254D-B5F3-79EA6DC77603}"/>
              </c:ext>
            </c:extLst>
          </c:dPt>
          <c:dPt>
            <c:idx val="1"/>
            <c:bubble3D val="0"/>
            <c:spPr>
              <a:solidFill>
                <a:schemeClr val="accent2"/>
              </a:solidFill>
            </c:spPr>
            <c:extLst>
              <c:ext xmlns:c16="http://schemas.microsoft.com/office/drawing/2014/chart" uri="{C3380CC4-5D6E-409C-BE32-E72D297353CC}">
                <c16:uniqueId val="{00000003-2FA1-254D-B5F3-79EA6DC77603}"/>
              </c:ext>
            </c:extLst>
          </c:dPt>
          <c:dPt>
            <c:idx val="2"/>
            <c:bubble3D val="0"/>
            <c:spPr>
              <a:solidFill>
                <a:schemeClr val="accent3"/>
              </a:solidFill>
            </c:spPr>
            <c:extLst>
              <c:ext xmlns:c16="http://schemas.microsoft.com/office/drawing/2014/chart" uri="{C3380CC4-5D6E-409C-BE32-E72D297353CC}">
                <c16:uniqueId val="{00000005-2FA1-254D-B5F3-79EA6DC77603}"/>
              </c:ext>
            </c:extLst>
          </c:dPt>
          <c:dPt>
            <c:idx val="3"/>
            <c:bubble3D val="0"/>
            <c:spPr>
              <a:solidFill>
                <a:schemeClr val="accent4"/>
              </a:solidFill>
            </c:spPr>
            <c:extLst>
              <c:ext xmlns:c16="http://schemas.microsoft.com/office/drawing/2014/chart" uri="{C3380CC4-5D6E-409C-BE32-E72D297353CC}">
                <c16:uniqueId val="{00000007-2FA1-254D-B5F3-79EA6DC77603}"/>
              </c:ext>
            </c:extLst>
          </c:dPt>
          <c:dPt>
            <c:idx val="4"/>
            <c:bubble3D val="0"/>
            <c:spPr>
              <a:solidFill>
                <a:schemeClr val="accent5"/>
              </a:solidFill>
            </c:spPr>
            <c:extLst>
              <c:ext xmlns:c16="http://schemas.microsoft.com/office/drawing/2014/chart" uri="{C3380CC4-5D6E-409C-BE32-E72D297353CC}">
                <c16:uniqueId val="{00000009-2FA1-254D-B5F3-79EA6DC77603}"/>
              </c:ext>
            </c:extLst>
          </c:dPt>
          <c:dPt>
            <c:idx val="5"/>
            <c:bubble3D val="0"/>
            <c:spPr>
              <a:solidFill>
                <a:schemeClr val="accent6"/>
              </a:solidFill>
            </c:spPr>
            <c:extLst>
              <c:ext xmlns:c16="http://schemas.microsoft.com/office/drawing/2014/chart" uri="{C3380CC4-5D6E-409C-BE32-E72D297353CC}">
                <c16:uniqueId val="{0000000B-2FA1-254D-B5F3-79EA6DC77603}"/>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'4- VEHICULES UTILITAIRES'!$J$122:$J$127</c:f>
              <c:strCache>
                <c:ptCount val="6"/>
                <c:pt idx="0">
                  <c:v>Camionette</c:v>
                </c:pt>
                <c:pt idx="1">
                  <c:v>Camion &lt;7t</c:v>
                </c:pt>
                <c:pt idx="2">
                  <c:v>Camion &gt;7t</c:v>
                </c:pt>
                <c:pt idx="3">
                  <c:v>Fret - avion</c:v>
                </c:pt>
                <c:pt idx="4">
                  <c:v>Fret - train</c:v>
                </c:pt>
                <c:pt idx="5">
                  <c:v>Fret - bateau</c:v>
                </c:pt>
              </c:strCache>
            </c:strRef>
          </c:cat>
          <c:val>
            <c:numRef>
              <c:f>'4- VEHICULES UTILITAIRES'!$N$122:$N$127</c:f>
              <c:numCache>
                <c:formatCode>General</c:formatCode>
                <c:ptCount val="6"/>
                <c:pt idx="0">
                  <c:v>1500</c:v>
                </c:pt>
                <c:pt idx="1">
                  <c:v>0</c:v>
                </c:pt>
                <c:pt idx="2">
                  <c:v>0</c:v>
                </c:pt>
                <c:pt idx="3">
                  <c:v>0</c:v>
                </c:pt>
                <c:pt idx="4">
                  <c:v>1000</c:v>
                </c:pt>
                <c:pt idx="5">
                  <c:v>0</c:v>
                </c:pt>
              </c:numCache>
            </c:numRef>
          </c:val>
          <c:extLst>
            <c:ext xmlns:c16="http://schemas.microsoft.com/office/drawing/2014/chart" uri="{C3380CC4-5D6E-409C-BE32-E72D297353CC}">
              <c16:uniqueId val="{0000000C-2FA1-254D-B5F3-79EA6DC77603}"/>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Prépa</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7EA1-0B4D-8B30-073A450047FB}"/>
              </c:ext>
            </c:extLst>
          </c:dPt>
          <c:dPt>
            <c:idx val="1"/>
            <c:bubble3D val="0"/>
            <c:spPr>
              <a:solidFill>
                <a:schemeClr val="accent2"/>
              </a:solidFill>
            </c:spPr>
            <c:extLst>
              <c:ext xmlns:c16="http://schemas.microsoft.com/office/drawing/2014/chart" uri="{C3380CC4-5D6E-409C-BE32-E72D297353CC}">
                <c16:uniqueId val="{00000003-7EA1-0B4D-8B30-073A450047FB}"/>
              </c:ext>
            </c:extLst>
          </c:dPt>
          <c:dPt>
            <c:idx val="2"/>
            <c:bubble3D val="0"/>
            <c:spPr>
              <a:solidFill>
                <a:schemeClr val="accent3"/>
              </a:solidFill>
            </c:spPr>
            <c:extLst>
              <c:ext xmlns:c16="http://schemas.microsoft.com/office/drawing/2014/chart" uri="{C3380CC4-5D6E-409C-BE32-E72D297353CC}">
                <c16:uniqueId val="{00000005-7EA1-0B4D-8B30-073A450047FB}"/>
              </c:ext>
            </c:extLst>
          </c:dPt>
          <c:dPt>
            <c:idx val="3"/>
            <c:bubble3D val="0"/>
            <c:spPr>
              <a:solidFill>
                <a:schemeClr val="accent4"/>
              </a:solidFill>
            </c:spPr>
            <c:extLst>
              <c:ext xmlns:c16="http://schemas.microsoft.com/office/drawing/2014/chart" uri="{C3380CC4-5D6E-409C-BE32-E72D297353CC}">
                <c16:uniqueId val="{00000007-7EA1-0B4D-8B30-073A450047FB}"/>
              </c:ext>
            </c:extLst>
          </c:dPt>
          <c:dPt>
            <c:idx val="4"/>
            <c:bubble3D val="0"/>
            <c:spPr>
              <a:solidFill>
                <a:schemeClr val="accent5"/>
              </a:solidFill>
            </c:spPr>
            <c:extLst>
              <c:ext xmlns:c16="http://schemas.microsoft.com/office/drawing/2014/chart" uri="{C3380CC4-5D6E-409C-BE32-E72D297353CC}">
                <c16:uniqueId val="{00000009-7EA1-0B4D-8B30-073A450047FB}"/>
              </c:ext>
            </c:extLst>
          </c:dPt>
          <c:dPt>
            <c:idx val="5"/>
            <c:bubble3D val="0"/>
            <c:spPr>
              <a:solidFill>
                <a:schemeClr val="accent6"/>
              </a:solidFill>
            </c:spPr>
            <c:extLst>
              <c:ext xmlns:c16="http://schemas.microsoft.com/office/drawing/2014/chart" uri="{C3380CC4-5D6E-409C-BE32-E72D297353CC}">
                <c16:uniqueId val="{0000000B-7EA1-0B4D-8B30-073A450047FB}"/>
              </c:ext>
            </c:extLst>
          </c:dPt>
          <c:dPt>
            <c:idx val="6"/>
            <c:bubble3D val="0"/>
            <c:spPr>
              <a:solidFill>
                <a:schemeClr val="accent1"/>
              </a:solidFill>
            </c:spPr>
            <c:extLst>
              <c:ext xmlns:c16="http://schemas.microsoft.com/office/drawing/2014/chart" uri="{C3380CC4-5D6E-409C-BE32-E72D297353CC}">
                <c16:uniqueId val="{0000000D-7EA1-0B4D-8B30-073A450047FB}"/>
              </c:ext>
            </c:extLst>
          </c:dPt>
          <c:dPt>
            <c:idx val="7"/>
            <c:bubble3D val="0"/>
            <c:spPr>
              <a:solidFill>
                <a:schemeClr val="accent2"/>
              </a:solidFill>
            </c:spPr>
            <c:extLst>
              <c:ext xmlns:c16="http://schemas.microsoft.com/office/drawing/2014/chart" uri="{C3380CC4-5D6E-409C-BE32-E72D297353CC}">
                <c16:uniqueId val="{0000000F-7EA1-0B4D-8B30-073A450047FB}"/>
              </c:ext>
            </c:extLst>
          </c:dPt>
          <c:dPt>
            <c:idx val="8"/>
            <c:bubble3D val="0"/>
            <c:spPr>
              <a:solidFill>
                <a:schemeClr val="accent3"/>
              </a:solidFill>
            </c:spPr>
            <c:extLst>
              <c:ext xmlns:c16="http://schemas.microsoft.com/office/drawing/2014/chart" uri="{C3380CC4-5D6E-409C-BE32-E72D297353CC}">
                <c16:uniqueId val="{00000011-7EA1-0B4D-8B30-073A450047FB}"/>
              </c:ext>
            </c:extLst>
          </c:dPt>
          <c:dPt>
            <c:idx val="9"/>
            <c:bubble3D val="0"/>
            <c:spPr>
              <a:solidFill>
                <a:schemeClr val="accent4"/>
              </a:solidFill>
            </c:spPr>
            <c:extLst>
              <c:ext xmlns:c16="http://schemas.microsoft.com/office/drawing/2014/chart" uri="{C3380CC4-5D6E-409C-BE32-E72D297353CC}">
                <c16:uniqueId val="{00000013-7EA1-0B4D-8B30-073A450047F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'5- VEHICULES DE JEU'!$H$48:$H$57</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Bus</c:v>
                </c:pt>
                <c:pt idx="9">
                  <c:v>Taxi</c:v>
                </c:pt>
              </c:strCache>
            </c:strRef>
          </c:cat>
          <c:val>
            <c:numRef>
              <c:f>'5- VEHICULES DE JEU'!$I$48:$I$57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7EA1-0B4D-8B30-073A450047FB}"/>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Finitions &amp; Post-prod</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4695-1A4B-AE05-E38A47AF60C0}"/>
              </c:ext>
            </c:extLst>
          </c:dPt>
          <c:dPt>
            <c:idx val="1"/>
            <c:bubble3D val="0"/>
            <c:spPr>
              <a:solidFill>
                <a:schemeClr val="accent2"/>
              </a:solidFill>
            </c:spPr>
            <c:extLst>
              <c:ext xmlns:c16="http://schemas.microsoft.com/office/drawing/2014/chart" uri="{C3380CC4-5D6E-409C-BE32-E72D297353CC}">
                <c16:uniqueId val="{00000003-4695-1A4B-AE05-E38A47AF60C0}"/>
              </c:ext>
            </c:extLst>
          </c:dPt>
          <c:dPt>
            <c:idx val="2"/>
            <c:bubble3D val="0"/>
            <c:spPr>
              <a:solidFill>
                <a:schemeClr val="accent3"/>
              </a:solidFill>
            </c:spPr>
            <c:extLst>
              <c:ext xmlns:c16="http://schemas.microsoft.com/office/drawing/2014/chart" uri="{C3380CC4-5D6E-409C-BE32-E72D297353CC}">
                <c16:uniqueId val="{00000005-4695-1A4B-AE05-E38A47AF60C0}"/>
              </c:ext>
            </c:extLst>
          </c:dPt>
          <c:dPt>
            <c:idx val="3"/>
            <c:bubble3D val="0"/>
            <c:spPr>
              <a:solidFill>
                <a:schemeClr val="accent4"/>
              </a:solidFill>
            </c:spPr>
            <c:extLst>
              <c:ext xmlns:c16="http://schemas.microsoft.com/office/drawing/2014/chart" uri="{C3380CC4-5D6E-409C-BE32-E72D297353CC}">
                <c16:uniqueId val="{00000007-4695-1A4B-AE05-E38A47AF60C0}"/>
              </c:ext>
            </c:extLst>
          </c:dPt>
          <c:dPt>
            <c:idx val="4"/>
            <c:bubble3D val="0"/>
            <c:spPr>
              <a:solidFill>
                <a:schemeClr val="accent5"/>
              </a:solidFill>
            </c:spPr>
            <c:extLst>
              <c:ext xmlns:c16="http://schemas.microsoft.com/office/drawing/2014/chart" uri="{C3380CC4-5D6E-409C-BE32-E72D297353CC}">
                <c16:uniqueId val="{00000009-4695-1A4B-AE05-E38A47AF60C0}"/>
              </c:ext>
            </c:extLst>
          </c:dPt>
          <c:dPt>
            <c:idx val="5"/>
            <c:bubble3D val="0"/>
            <c:spPr>
              <a:solidFill>
                <a:schemeClr val="accent6"/>
              </a:solidFill>
            </c:spPr>
            <c:extLst>
              <c:ext xmlns:c16="http://schemas.microsoft.com/office/drawing/2014/chart" uri="{C3380CC4-5D6E-409C-BE32-E72D297353CC}">
                <c16:uniqueId val="{0000000B-4695-1A4B-AE05-E38A47AF60C0}"/>
              </c:ext>
            </c:extLst>
          </c:dPt>
          <c:dPt>
            <c:idx val="6"/>
            <c:bubble3D val="0"/>
            <c:spPr>
              <a:solidFill>
                <a:schemeClr val="accent1"/>
              </a:solidFill>
            </c:spPr>
            <c:extLst>
              <c:ext xmlns:c16="http://schemas.microsoft.com/office/drawing/2014/chart" uri="{C3380CC4-5D6E-409C-BE32-E72D297353CC}">
                <c16:uniqueId val="{0000000D-4695-1A4B-AE05-E38A47AF60C0}"/>
              </c:ext>
            </c:extLst>
          </c:dPt>
          <c:dPt>
            <c:idx val="7"/>
            <c:bubble3D val="0"/>
            <c:spPr>
              <a:solidFill>
                <a:schemeClr val="accent2"/>
              </a:solidFill>
            </c:spPr>
            <c:extLst>
              <c:ext xmlns:c16="http://schemas.microsoft.com/office/drawing/2014/chart" uri="{C3380CC4-5D6E-409C-BE32-E72D297353CC}">
                <c16:uniqueId val="{0000000F-4695-1A4B-AE05-E38A47AF60C0}"/>
              </c:ext>
            </c:extLst>
          </c:dPt>
          <c:dPt>
            <c:idx val="8"/>
            <c:bubble3D val="0"/>
            <c:spPr>
              <a:solidFill>
                <a:schemeClr val="accent3"/>
              </a:solidFill>
            </c:spPr>
            <c:extLst>
              <c:ext xmlns:c16="http://schemas.microsoft.com/office/drawing/2014/chart" uri="{C3380CC4-5D6E-409C-BE32-E72D297353CC}">
                <c16:uniqueId val="{00000011-4695-1A4B-AE05-E38A47AF60C0}"/>
              </c:ext>
            </c:extLst>
          </c:dPt>
          <c:dPt>
            <c:idx val="9"/>
            <c:bubble3D val="0"/>
            <c:spPr>
              <a:solidFill>
                <a:schemeClr val="accent4"/>
              </a:solidFill>
            </c:spPr>
            <c:extLst>
              <c:ext xmlns:c16="http://schemas.microsoft.com/office/drawing/2014/chart" uri="{C3380CC4-5D6E-409C-BE32-E72D297353CC}">
                <c16:uniqueId val="{00000013-4695-1A4B-AE05-E38A47AF60C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'5- VEHICULES DE JEU'!$H$48:$H$57</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Bus</c:v>
                </c:pt>
                <c:pt idx="9">
                  <c:v>Taxi</c:v>
                </c:pt>
              </c:strCache>
            </c:strRef>
          </c:cat>
          <c:val>
            <c:numRef>
              <c:f>'5- VEHICULES DE JEU'!$K$48:$K$57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4695-1A4B-AE05-E38A47AF60C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Tournage</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7625-5F49-BFC3-A9CA79E2C9F3}"/>
              </c:ext>
            </c:extLst>
          </c:dPt>
          <c:dPt>
            <c:idx val="1"/>
            <c:bubble3D val="0"/>
            <c:spPr>
              <a:solidFill>
                <a:schemeClr val="accent2"/>
              </a:solidFill>
            </c:spPr>
            <c:extLst>
              <c:ext xmlns:c16="http://schemas.microsoft.com/office/drawing/2014/chart" uri="{C3380CC4-5D6E-409C-BE32-E72D297353CC}">
                <c16:uniqueId val="{00000003-7625-5F49-BFC3-A9CA79E2C9F3}"/>
              </c:ext>
            </c:extLst>
          </c:dPt>
          <c:dPt>
            <c:idx val="2"/>
            <c:bubble3D val="0"/>
            <c:spPr>
              <a:solidFill>
                <a:schemeClr val="accent3"/>
              </a:solidFill>
            </c:spPr>
            <c:extLst>
              <c:ext xmlns:c16="http://schemas.microsoft.com/office/drawing/2014/chart" uri="{C3380CC4-5D6E-409C-BE32-E72D297353CC}">
                <c16:uniqueId val="{00000005-7625-5F49-BFC3-A9CA79E2C9F3}"/>
              </c:ext>
            </c:extLst>
          </c:dPt>
          <c:dPt>
            <c:idx val="3"/>
            <c:bubble3D val="0"/>
            <c:spPr>
              <a:solidFill>
                <a:schemeClr val="accent4"/>
              </a:solidFill>
            </c:spPr>
            <c:extLst>
              <c:ext xmlns:c16="http://schemas.microsoft.com/office/drawing/2014/chart" uri="{C3380CC4-5D6E-409C-BE32-E72D297353CC}">
                <c16:uniqueId val="{00000007-7625-5F49-BFC3-A9CA79E2C9F3}"/>
              </c:ext>
            </c:extLst>
          </c:dPt>
          <c:dPt>
            <c:idx val="4"/>
            <c:bubble3D val="0"/>
            <c:spPr>
              <a:solidFill>
                <a:schemeClr val="accent5"/>
              </a:solidFill>
            </c:spPr>
            <c:extLst>
              <c:ext xmlns:c16="http://schemas.microsoft.com/office/drawing/2014/chart" uri="{C3380CC4-5D6E-409C-BE32-E72D297353CC}">
                <c16:uniqueId val="{00000009-7625-5F49-BFC3-A9CA79E2C9F3}"/>
              </c:ext>
            </c:extLst>
          </c:dPt>
          <c:dPt>
            <c:idx val="5"/>
            <c:bubble3D val="0"/>
            <c:spPr>
              <a:solidFill>
                <a:schemeClr val="accent6"/>
              </a:solidFill>
            </c:spPr>
            <c:extLst>
              <c:ext xmlns:c16="http://schemas.microsoft.com/office/drawing/2014/chart" uri="{C3380CC4-5D6E-409C-BE32-E72D297353CC}">
                <c16:uniqueId val="{0000000B-7625-5F49-BFC3-A9CA79E2C9F3}"/>
              </c:ext>
            </c:extLst>
          </c:dPt>
          <c:dPt>
            <c:idx val="6"/>
            <c:bubble3D val="0"/>
            <c:spPr>
              <a:solidFill>
                <a:schemeClr val="accent1"/>
              </a:solidFill>
            </c:spPr>
            <c:extLst>
              <c:ext xmlns:c16="http://schemas.microsoft.com/office/drawing/2014/chart" uri="{C3380CC4-5D6E-409C-BE32-E72D297353CC}">
                <c16:uniqueId val="{0000000D-7625-5F49-BFC3-A9CA79E2C9F3}"/>
              </c:ext>
            </c:extLst>
          </c:dPt>
          <c:dPt>
            <c:idx val="7"/>
            <c:bubble3D val="0"/>
            <c:spPr>
              <a:solidFill>
                <a:schemeClr val="accent2"/>
              </a:solidFill>
            </c:spPr>
            <c:extLst>
              <c:ext xmlns:c16="http://schemas.microsoft.com/office/drawing/2014/chart" uri="{C3380CC4-5D6E-409C-BE32-E72D297353CC}">
                <c16:uniqueId val="{0000000F-7625-5F49-BFC3-A9CA79E2C9F3}"/>
              </c:ext>
            </c:extLst>
          </c:dPt>
          <c:dPt>
            <c:idx val="8"/>
            <c:bubble3D val="0"/>
            <c:spPr>
              <a:solidFill>
                <a:schemeClr val="accent3"/>
              </a:solidFill>
            </c:spPr>
            <c:extLst>
              <c:ext xmlns:c16="http://schemas.microsoft.com/office/drawing/2014/chart" uri="{C3380CC4-5D6E-409C-BE32-E72D297353CC}">
                <c16:uniqueId val="{00000011-7625-5F49-BFC3-A9CA79E2C9F3}"/>
              </c:ext>
            </c:extLst>
          </c:dPt>
          <c:dPt>
            <c:idx val="9"/>
            <c:bubble3D val="0"/>
            <c:spPr>
              <a:solidFill>
                <a:schemeClr val="accent4"/>
              </a:solidFill>
            </c:spPr>
            <c:extLst>
              <c:ext xmlns:c16="http://schemas.microsoft.com/office/drawing/2014/chart" uri="{C3380CC4-5D6E-409C-BE32-E72D297353CC}">
                <c16:uniqueId val="{00000013-7625-5F49-BFC3-A9CA79E2C9F3}"/>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'5- VEHICULES DE JEU'!$H$48:$H$57</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Bus</c:v>
                </c:pt>
                <c:pt idx="9">
                  <c:v>Taxi</c:v>
                </c:pt>
              </c:strCache>
            </c:strRef>
          </c:cat>
          <c:val>
            <c:numRef>
              <c:f>'5- VEHICULES DE JEU'!$J$48:$J$57</c:f>
              <c:numCache>
                <c:formatCode>General</c:formatCode>
                <c:ptCount val="10"/>
                <c:pt idx="0">
                  <c:v>0</c:v>
                </c:pt>
                <c:pt idx="1">
                  <c:v>0</c:v>
                </c:pt>
                <c:pt idx="2">
                  <c:v>0</c:v>
                </c:pt>
                <c:pt idx="3">
                  <c:v>0</c:v>
                </c:pt>
                <c:pt idx="4">
                  <c:v>0</c:v>
                </c:pt>
                <c:pt idx="5">
                  <c:v>0</c:v>
                </c:pt>
                <c:pt idx="6">
                  <c:v>0</c:v>
                </c:pt>
                <c:pt idx="7">
                  <c:v>0</c:v>
                </c:pt>
                <c:pt idx="8">
                  <c:v>0</c:v>
                </c:pt>
                <c:pt idx="9">
                  <c:v>50</c:v>
                </c:pt>
              </c:numCache>
            </c:numRef>
          </c:val>
          <c:extLst>
            <c:ext xmlns:c16="http://schemas.microsoft.com/office/drawing/2014/chart" uri="{C3380CC4-5D6E-409C-BE32-E72D297353CC}">
              <c16:uniqueId val="{00000014-7625-5F49-BFC3-A9CA79E2C9F3}"/>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Prépa</a:t>
            </a:r>
          </a:p>
        </c:rich>
      </c:tx>
      <c:overlay val="0"/>
    </c:title>
    <c:autoTitleDeleted val="0"/>
    <c:plotArea>
      <c:layout/>
      <c:pieChart>
        <c:varyColors val="1"/>
        <c:ser>
          <c:idx val="0"/>
          <c:order val="0"/>
          <c:dPt>
            <c:idx val="0"/>
            <c:bubble3D val="0"/>
            <c:spPr>
              <a:solidFill>
                <a:srgbClr val="6FA8DC"/>
              </a:solidFill>
            </c:spPr>
            <c:extLst>
              <c:ext xmlns:c16="http://schemas.microsoft.com/office/drawing/2014/chart" uri="{C3380CC4-5D6E-409C-BE32-E72D297353CC}">
                <c16:uniqueId val="{00000001-54B8-1845-82C9-B724E92BBBEC}"/>
              </c:ext>
            </c:extLst>
          </c:dPt>
          <c:dPt>
            <c:idx val="1"/>
            <c:bubble3D val="0"/>
            <c:spPr>
              <a:solidFill>
                <a:schemeClr val="accent6"/>
              </a:solidFill>
            </c:spPr>
            <c:extLst>
              <c:ext xmlns:c16="http://schemas.microsoft.com/office/drawing/2014/chart" uri="{C3380CC4-5D6E-409C-BE32-E72D297353CC}">
                <c16:uniqueId val="{00000003-54B8-1845-82C9-B724E92BBBEC}"/>
              </c:ext>
            </c:extLst>
          </c:dPt>
          <c:dPt>
            <c:idx val="2"/>
            <c:bubble3D val="0"/>
            <c:spPr>
              <a:solidFill>
                <a:schemeClr val="accent6"/>
              </a:solidFill>
            </c:spPr>
            <c:extLst>
              <c:ext xmlns:c16="http://schemas.microsoft.com/office/drawing/2014/chart" uri="{C3380CC4-5D6E-409C-BE32-E72D297353CC}">
                <c16:uniqueId val="{00000005-54B8-1845-82C9-B724E92BBBEC}"/>
              </c:ext>
            </c:extLst>
          </c:dPt>
          <c:dPt>
            <c:idx val="3"/>
            <c:bubble3D val="0"/>
            <c:spPr>
              <a:solidFill>
                <a:schemeClr val="accent6"/>
              </a:solidFill>
            </c:spPr>
            <c:extLst>
              <c:ext xmlns:c16="http://schemas.microsoft.com/office/drawing/2014/chart" uri="{C3380CC4-5D6E-409C-BE32-E72D297353CC}">
                <c16:uniqueId val="{00000007-54B8-1845-82C9-B724E92BBBEC}"/>
              </c:ext>
            </c:extLst>
          </c:dPt>
          <c:dPt>
            <c:idx val="4"/>
            <c:bubble3D val="0"/>
            <c:spPr>
              <a:solidFill>
                <a:schemeClr val="accent6"/>
              </a:solidFill>
            </c:spPr>
            <c:extLst>
              <c:ext xmlns:c16="http://schemas.microsoft.com/office/drawing/2014/chart" uri="{C3380CC4-5D6E-409C-BE32-E72D297353CC}">
                <c16:uniqueId val="{00000009-54B8-1845-82C9-B724E92BBBEC}"/>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'6- HÉBERGEMENT'!$E$56:$E$60</c:f>
              <c:strCache>
                <c:ptCount val="5"/>
                <c:pt idx="0">
                  <c:v>Moyen</c:v>
                </c:pt>
                <c:pt idx="1">
                  <c:v>2*</c:v>
                </c:pt>
                <c:pt idx="2">
                  <c:v>3*</c:v>
                </c:pt>
                <c:pt idx="3">
                  <c:v>4*</c:v>
                </c:pt>
                <c:pt idx="4">
                  <c:v>5*</c:v>
                </c:pt>
              </c:strCache>
            </c:strRef>
          </c:cat>
          <c:val>
            <c:numRef>
              <c:f>'6- HÉBERGEMENT'!$F$56:$F$60</c:f>
              <c:numCache>
                <c:formatCode>General</c:formatCode>
                <c:ptCount val="5"/>
                <c:pt idx="0">
                  <c:v>0</c:v>
                </c:pt>
                <c:pt idx="1">
                  <c:v>0</c:v>
                </c:pt>
                <c:pt idx="2">
                  <c:v>20</c:v>
                </c:pt>
                <c:pt idx="3">
                  <c:v>0</c:v>
                </c:pt>
                <c:pt idx="4">
                  <c:v>0</c:v>
                </c:pt>
              </c:numCache>
            </c:numRef>
          </c:val>
          <c:extLst>
            <c:ext xmlns:c16="http://schemas.microsoft.com/office/drawing/2014/chart" uri="{C3380CC4-5D6E-409C-BE32-E72D297353CC}">
              <c16:uniqueId val="{0000000A-54B8-1845-82C9-B724E92BBBEC}"/>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lvl="0">
              <a:defRPr sz="1800" b="1" i="0" u="none" strike="noStrike" kern="1200" baseline="0">
                <a:solidFill>
                  <a:schemeClr val="dk1"/>
                </a:solidFill>
                <a:latin typeface="+mn-lt"/>
                <a:ea typeface="+mn-ea"/>
                <a:cs typeface="+mn-cs"/>
              </a:defRPr>
            </a:pPr>
            <a:r>
              <a:rPr lang="fr-FR" sz="1800" b="1" i="0">
                <a:solidFill>
                  <a:schemeClr val="dk1"/>
                </a:solidFill>
                <a:latin typeface="+mn-lt"/>
              </a:rPr>
              <a:t>Tournage</a:t>
            </a:r>
          </a:p>
        </c:rich>
      </c:tx>
      <c:overlay val="0"/>
      <c:spPr>
        <a:noFill/>
        <a:ln>
          <a:noFill/>
        </a:ln>
        <a:effectLst/>
      </c:spPr>
      <c:txPr>
        <a:bodyPr rot="0" spcFirstLastPara="1" vertOverflow="ellipsis" vert="horz" wrap="square" anchor="ctr" anchorCtr="1"/>
        <a:lstStyle/>
        <a:p>
          <a:pPr lvl="0">
            <a:defRPr sz="1800" b="1" i="0" u="none" strike="noStrike" kern="1200" baseline="0">
              <a:solidFill>
                <a:schemeClr val="dk1"/>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0112-C949-A5C7-71CEC39D9F32}"/>
              </c:ext>
            </c:extLst>
          </c:dPt>
          <c:dPt>
            <c:idx val="1"/>
            <c:bubble3D val="0"/>
            <c:spPr>
              <a:solidFill>
                <a:schemeClr val="accent2"/>
              </a:solidFill>
              <a:ln>
                <a:noFill/>
              </a:ln>
              <a:effectLst/>
            </c:spPr>
            <c:extLst>
              <c:ext xmlns:c16="http://schemas.microsoft.com/office/drawing/2014/chart" uri="{C3380CC4-5D6E-409C-BE32-E72D297353CC}">
                <c16:uniqueId val="{00000003-0112-C949-A5C7-71CEC39D9F32}"/>
              </c:ext>
            </c:extLst>
          </c:dPt>
          <c:dPt>
            <c:idx val="2"/>
            <c:bubble3D val="0"/>
            <c:spPr>
              <a:solidFill>
                <a:schemeClr val="accent3"/>
              </a:solidFill>
              <a:ln>
                <a:noFill/>
              </a:ln>
              <a:effectLst/>
            </c:spPr>
            <c:extLst>
              <c:ext xmlns:c16="http://schemas.microsoft.com/office/drawing/2014/chart" uri="{C3380CC4-5D6E-409C-BE32-E72D297353CC}">
                <c16:uniqueId val="{00000005-0112-C949-A5C7-71CEC39D9F32}"/>
              </c:ext>
            </c:extLst>
          </c:dPt>
          <c:dPt>
            <c:idx val="3"/>
            <c:bubble3D val="0"/>
            <c:spPr>
              <a:solidFill>
                <a:schemeClr val="accent4"/>
              </a:solidFill>
              <a:ln>
                <a:noFill/>
              </a:ln>
              <a:effectLst/>
            </c:spPr>
            <c:extLst>
              <c:ext xmlns:c16="http://schemas.microsoft.com/office/drawing/2014/chart" uri="{C3380CC4-5D6E-409C-BE32-E72D297353CC}">
                <c16:uniqueId val="{00000007-0112-C949-A5C7-71CEC39D9F32}"/>
              </c:ext>
            </c:extLst>
          </c:dPt>
          <c:dPt>
            <c:idx val="4"/>
            <c:bubble3D val="0"/>
            <c:spPr>
              <a:solidFill>
                <a:schemeClr val="accent5"/>
              </a:solidFill>
              <a:ln>
                <a:noFill/>
              </a:ln>
              <a:effectLst/>
            </c:spPr>
            <c:extLst>
              <c:ext xmlns:c16="http://schemas.microsoft.com/office/drawing/2014/chart" uri="{C3380CC4-5D6E-409C-BE32-E72D297353CC}">
                <c16:uniqueId val="{00000009-0112-C949-A5C7-71CEC39D9F32}"/>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fr-FR"/>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 HÉBERGEMENT'!$E$56:$E$60</c:f>
              <c:strCache>
                <c:ptCount val="5"/>
                <c:pt idx="0">
                  <c:v>Moyen</c:v>
                </c:pt>
                <c:pt idx="1">
                  <c:v>2*</c:v>
                </c:pt>
                <c:pt idx="2">
                  <c:v>3*</c:v>
                </c:pt>
                <c:pt idx="3">
                  <c:v>4*</c:v>
                </c:pt>
                <c:pt idx="4">
                  <c:v>5*</c:v>
                </c:pt>
              </c:strCache>
            </c:strRef>
          </c:cat>
          <c:val>
            <c:numRef>
              <c:f>'6- HÉBERGEMENT'!$G$56:$G$60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112-C949-A5C7-71CEC39D9F3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900" b="0" i="0" u="none" strike="noStrike" kern="1200" baseline="0">
              <a:solidFill>
                <a:schemeClr val="dk1"/>
              </a:solidFill>
              <a:latin typeface="+mn-lt"/>
              <a:ea typeface="+mn-ea"/>
              <a:cs typeface="+mn-cs"/>
            </a:defRPr>
          </a:pPr>
          <a:endParaRPr lang="fr-FR"/>
        </a:p>
      </c:txPr>
    </c:legend>
    <c:plotVisOnly val="1"/>
    <c:dispBlanksAs val="zero"/>
    <c:showDLblsOverMax val="1"/>
  </c:chart>
  <c:spPr>
    <a:solidFill>
      <a:schemeClr val="lt1"/>
    </a:solidFill>
    <a:ln w="6350" cap="flat" cmpd="sng" algn="ctr">
      <a:solidFill>
        <a:schemeClr val="tx1">
          <a:tint val="75000"/>
        </a:schemeClr>
      </a:solidFill>
      <a:prstDash val="solid"/>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DCF1-A04D-8361-CA6CC6023E55}"/>
              </c:ext>
            </c:extLst>
          </c:dPt>
          <c:dPt>
            <c:idx val="1"/>
            <c:bubble3D val="0"/>
            <c:spPr>
              <a:solidFill>
                <a:schemeClr val="accent2"/>
              </a:solidFill>
            </c:spPr>
            <c:extLst>
              <c:ext xmlns:c16="http://schemas.microsoft.com/office/drawing/2014/chart" uri="{C3380CC4-5D6E-409C-BE32-E72D297353CC}">
                <c16:uniqueId val="{00000003-DCF1-A04D-8361-CA6CC6023E55}"/>
              </c:ext>
            </c:extLst>
          </c:dPt>
          <c:dPt>
            <c:idx val="2"/>
            <c:bubble3D val="0"/>
            <c:spPr>
              <a:solidFill>
                <a:schemeClr val="accent3"/>
              </a:solidFill>
            </c:spPr>
            <c:extLst>
              <c:ext xmlns:c16="http://schemas.microsoft.com/office/drawing/2014/chart" uri="{C3380CC4-5D6E-409C-BE32-E72D297353CC}">
                <c16:uniqueId val="{00000005-DCF1-A04D-8361-CA6CC6023E55}"/>
              </c:ext>
            </c:extLst>
          </c:dPt>
          <c:dPt>
            <c:idx val="3"/>
            <c:bubble3D val="0"/>
            <c:spPr>
              <a:solidFill>
                <a:schemeClr val="accent4"/>
              </a:solidFill>
            </c:spPr>
            <c:extLst>
              <c:ext xmlns:c16="http://schemas.microsoft.com/office/drawing/2014/chart" uri="{C3380CC4-5D6E-409C-BE32-E72D297353CC}">
                <c16:uniqueId val="{00000007-DCF1-A04D-8361-CA6CC6023E55}"/>
              </c:ext>
            </c:extLst>
          </c:dPt>
          <c:dPt>
            <c:idx val="4"/>
            <c:bubble3D val="0"/>
            <c:spPr>
              <a:solidFill>
                <a:schemeClr val="accent5"/>
              </a:solidFill>
            </c:spPr>
            <c:extLst>
              <c:ext xmlns:c16="http://schemas.microsoft.com/office/drawing/2014/chart" uri="{C3380CC4-5D6E-409C-BE32-E72D297353CC}">
                <c16:uniqueId val="{00000009-DCF1-A04D-8361-CA6CC6023E55}"/>
              </c:ext>
            </c:extLst>
          </c:dPt>
          <c:dPt>
            <c:idx val="5"/>
            <c:bubble3D val="0"/>
            <c:spPr>
              <a:solidFill>
                <a:schemeClr val="accent6"/>
              </a:solidFill>
            </c:spPr>
            <c:extLst>
              <c:ext xmlns:c16="http://schemas.microsoft.com/office/drawing/2014/chart" uri="{C3380CC4-5D6E-409C-BE32-E72D297353CC}">
                <c16:uniqueId val="{0000000B-DCF1-A04D-8361-CA6CC6023E55}"/>
              </c:ext>
            </c:extLst>
          </c:dPt>
          <c:dPt>
            <c:idx val="6"/>
            <c:bubble3D val="0"/>
            <c:spPr>
              <a:solidFill>
                <a:schemeClr val="accent1"/>
              </a:solidFill>
            </c:spPr>
            <c:extLst>
              <c:ext xmlns:c16="http://schemas.microsoft.com/office/drawing/2014/chart" uri="{C3380CC4-5D6E-409C-BE32-E72D297353CC}">
                <c16:uniqueId val="{0000000D-DCF1-A04D-8361-CA6CC6023E55}"/>
              </c:ext>
            </c:extLst>
          </c:dPt>
          <c:dPt>
            <c:idx val="7"/>
            <c:bubble3D val="0"/>
            <c:spPr>
              <a:solidFill>
                <a:schemeClr val="accent2"/>
              </a:solidFill>
            </c:spPr>
            <c:extLst>
              <c:ext xmlns:c16="http://schemas.microsoft.com/office/drawing/2014/chart" uri="{C3380CC4-5D6E-409C-BE32-E72D297353CC}">
                <c16:uniqueId val="{0000000F-DCF1-A04D-8361-CA6CC6023E55}"/>
              </c:ext>
            </c:extLst>
          </c:dPt>
          <c:dPt>
            <c:idx val="8"/>
            <c:bubble3D val="0"/>
            <c:spPr>
              <a:solidFill>
                <a:schemeClr val="accent3"/>
              </a:solidFill>
            </c:spPr>
            <c:extLst>
              <c:ext xmlns:c16="http://schemas.microsoft.com/office/drawing/2014/chart" uri="{C3380CC4-5D6E-409C-BE32-E72D297353CC}">
                <c16:uniqueId val="{00000011-DCF1-A04D-8361-CA6CC6023E55}"/>
              </c:ext>
            </c:extLst>
          </c:dPt>
          <c:dPt>
            <c:idx val="9"/>
            <c:bubble3D val="0"/>
            <c:spPr>
              <a:solidFill>
                <a:schemeClr val="accent4"/>
              </a:solidFill>
            </c:spPr>
            <c:extLst>
              <c:ext xmlns:c16="http://schemas.microsoft.com/office/drawing/2014/chart" uri="{C3380CC4-5D6E-409C-BE32-E72D297353CC}">
                <c16:uniqueId val="{00000013-DCF1-A04D-8361-CA6CC6023E5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LEGERS'!$G$125:$G$134</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LEGERS'!$H$125:$H$134</c:f>
              <c:numCache>
                <c:formatCode>General</c:formatCode>
                <c:ptCount val="10"/>
                <c:pt idx="0">
                  <c:v>0</c:v>
                </c:pt>
                <c:pt idx="1">
                  <c:v>2500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DCF1-A04D-8361-CA6CC6023E55}"/>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Finitions &amp; Post-prod</a:t>
            </a:r>
          </a:p>
        </c:rich>
      </c:tx>
      <c:overlay val="0"/>
    </c:title>
    <c:autoTitleDeleted val="0"/>
    <c:plotArea>
      <c:layout/>
      <c:pieChart>
        <c:varyColors val="1"/>
        <c:ser>
          <c:idx val="0"/>
          <c:order val="0"/>
          <c:dPt>
            <c:idx val="0"/>
            <c:bubble3D val="0"/>
            <c:spPr>
              <a:solidFill>
                <a:schemeClr val="accent6"/>
              </a:solidFill>
            </c:spPr>
            <c:extLst>
              <c:ext xmlns:c16="http://schemas.microsoft.com/office/drawing/2014/chart" uri="{C3380CC4-5D6E-409C-BE32-E72D297353CC}">
                <c16:uniqueId val="{00000001-6DE0-2146-BBC9-45FB78C128FE}"/>
              </c:ext>
            </c:extLst>
          </c:dPt>
          <c:dPt>
            <c:idx val="1"/>
            <c:bubble3D val="0"/>
            <c:spPr>
              <a:solidFill>
                <a:schemeClr val="accent6"/>
              </a:solidFill>
            </c:spPr>
            <c:extLst>
              <c:ext xmlns:c16="http://schemas.microsoft.com/office/drawing/2014/chart" uri="{C3380CC4-5D6E-409C-BE32-E72D297353CC}">
                <c16:uniqueId val="{00000003-6DE0-2146-BBC9-45FB78C128FE}"/>
              </c:ext>
            </c:extLst>
          </c:dPt>
          <c:dPt>
            <c:idx val="2"/>
            <c:bubble3D val="0"/>
            <c:spPr>
              <a:solidFill>
                <a:schemeClr val="accent6"/>
              </a:solidFill>
            </c:spPr>
            <c:extLst>
              <c:ext xmlns:c16="http://schemas.microsoft.com/office/drawing/2014/chart" uri="{C3380CC4-5D6E-409C-BE32-E72D297353CC}">
                <c16:uniqueId val="{00000005-6DE0-2146-BBC9-45FB78C128FE}"/>
              </c:ext>
            </c:extLst>
          </c:dPt>
          <c:dPt>
            <c:idx val="3"/>
            <c:bubble3D val="0"/>
            <c:spPr>
              <a:solidFill>
                <a:schemeClr val="accent6"/>
              </a:solidFill>
            </c:spPr>
            <c:extLst>
              <c:ext xmlns:c16="http://schemas.microsoft.com/office/drawing/2014/chart" uri="{C3380CC4-5D6E-409C-BE32-E72D297353CC}">
                <c16:uniqueId val="{00000007-6DE0-2146-BBC9-45FB78C128FE}"/>
              </c:ext>
            </c:extLst>
          </c:dPt>
          <c:dPt>
            <c:idx val="4"/>
            <c:bubble3D val="0"/>
            <c:spPr>
              <a:solidFill>
                <a:schemeClr val="accent6"/>
              </a:solidFill>
            </c:spPr>
            <c:extLst>
              <c:ext xmlns:c16="http://schemas.microsoft.com/office/drawing/2014/chart" uri="{C3380CC4-5D6E-409C-BE32-E72D297353CC}">
                <c16:uniqueId val="{00000009-6DE0-2146-BBC9-45FB78C128F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'6- HÉBERGEMENT'!$E$56:$E$60</c:f>
              <c:strCache>
                <c:ptCount val="5"/>
                <c:pt idx="0">
                  <c:v>Moyen</c:v>
                </c:pt>
                <c:pt idx="1">
                  <c:v>2*</c:v>
                </c:pt>
                <c:pt idx="2">
                  <c:v>3*</c:v>
                </c:pt>
                <c:pt idx="3">
                  <c:v>4*</c:v>
                </c:pt>
                <c:pt idx="4">
                  <c:v>5*</c:v>
                </c:pt>
              </c:strCache>
            </c:strRef>
          </c:cat>
          <c:val>
            <c:numRef>
              <c:f>'6- HÉBERGEMENT'!$H$56:$H$60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DE0-2146-BBC9-45FB78C128FE}"/>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Prépa</a:t>
            </a:r>
          </a:p>
        </c:rich>
      </c:tx>
      <c:layout>
        <c:manualLayout>
          <c:xMode val="edge"/>
          <c:yMode val="edge"/>
          <c:x val="4.7262879378274579E-2"/>
          <c:y val="6.210047448329184E-2"/>
        </c:manualLayout>
      </c:layout>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3612-6D48-ADF0-F58D20808119}"/>
              </c:ext>
            </c:extLst>
          </c:dPt>
          <c:dPt>
            <c:idx val="1"/>
            <c:bubble3D val="0"/>
            <c:spPr>
              <a:solidFill>
                <a:schemeClr val="accent2"/>
              </a:solidFill>
            </c:spPr>
            <c:extLst>
              <c:ext xmlns:c16="http://schemas.microsoft.com/office/drawing/2014/chart" uri="{C3380CC4-5D6E-409C-BE32-E72D297353CC}">
                <c16:uniqueId val="{00000003-3612-6D48-ADF0-F58D20808119}"/>
              </c:ext>
            </c:extLst>
          </c:dPt>
          <c:dPt>
            <c:idx val="2"/>
            <c:bubble3D val="0"/>
            <c:spPr>
              <a:solidFill>
                <a:schemeClr val="accent3"/>
              </a:solidFill>
            </c:spPr>
            <c:extLst>
              <c:ext xmlns:c16="http://schemas.microsoft.com/office/drawing/2014/chart" uri="{C3380CC4-5D6E-409C-BE32-E72D297353CC}">
                <c16:uniqueId val="{00000005-3612-6D48-ADF0-F58D20808119}"/>
              </c:ext>
            </c:extLst>
          </c:dPt>
          <c:dPt>
            <c:idx val="3"/>
            <c:bubble3D val="0"/>
            <c:spPr>
              <a:solidFill>
                <a:schemeClr val="accent4"/>
              </a:solidFill>
            </c:spPr>
            <c:extLst>
              <c:ext xmlns:c16="http://schemas.microsoft.com/office/drawing/2014/chart" uri="{C3380CC4-5D6E-409C-BE32-E72D297353CC}">
                <c16:uniqueId val="{00000007-3612-6D48-ADF0-F58D20808119}"/>
              </c:ext>
            </c:extLst>
          </c:dPt>
          <c:dPt>
            <c:idx val="4"/>
            <c:bubble3D val="0"/>
            <c:spPr>
              <a:solidFill>
                <a:schemeClr val="accent5"/>
              </a:solidFill>
            </c:spPr>
            <c:extLst>
              <c:ext xmlns:c16="http://schemas.microsoft.com/office/drawing/2014/chart" uri="{C3380CC4-5D6E-409C-BE32-E72D297353CC}">
                <c16:uniqueId val="{00000009-3612-6D48-ADF0-F58D20808119}"/>
              </c:ext>
            </c:extLst>
          </c:dPt>
          <c:dPt>
            <c:idx val="5"/>
            <c:bubble3D val="0"/>
            <c:spPr>
              <a:solidFill>
                <a:schemeClr val="accent6"/>
              </a:solidFill>
            </c:spPr>
            <c:extLst>
              <c:ext xmlns:c16="http://schemas.microsoft.com/office/drawing/2014/chart" uri="{C3380CC4-5D6E-409C-BE32-E72D297353CC}">
                <c16:uniqueId val="{0000000B-3612-6D48-ADF0-F58D20808119}"/>
              </c:ext>
            </c:extLst>
          </c:dPt>
          <c:dPt>
            <c:idx val="6"/>
            <c:bubble3D val="0"/>
            <c:spPr>
              <a:solidFill>
                <a:schemeClr val="accent1"/>
              </a:solidFill>
            </c:spPr>
            <c:extLst>
              <c:ext xmlns:c16="http://schemas.microsoft.com/office/drawing/2014/chart" uri="{C3380CC4-5D6E-409C-BE32-E72D297353CC}">
                <c16:uniqueId val="{0000000D-3612-6D48-ADF0-F58D20808119}"/>
              </c:ext>
            </c:extLst>
          </c:dPt>
          <c:dPt>
            <c:idx val="7"/>
            <c:bubble3D val="0"/>
            <c:spPr>
              <a:solidFill>
                <a:schemeClr val="accent2"/>
              </a:solidFill>
            </c:spPr>
            <c:extLst>
              <c:ext xmlns:c16="http://schemas.microsoft.com/office/drawing/2014/chart" uri="{C3380CC4-5D6E-409C-BE32-E72D297353CC}">
                <c16:uniqueId val="{0000000F-3612-6D48-ADF0-F58D20808119}"/>
              </c:ext>
            </c:extLst>
          </c:dPt>
          <c:dPt>
            <c:idx val="8"/>
            <c:bubble3D val="0"/>
            <c:spPr>
              <a:solidFill>
                <a:schemeClr val="accent3"/>
              </a:solidFill>
            </c:spPr>
            <c:extLst>
              <c:ext xmlns:c16="http://schemas.microsoft.com/office/drawing/2014/chart" uri="{C3380CC4-5D6E-409C-BE32-E72D297353CC}">
                <c16:uniqueId val="{00000011-3612-6D48-ADF0-F58D20808119}"/>
              </c:ext>
            </c:extLst>
          </c:dPt>
          <c:dPt>
            <c:idx val="9"/>
            <c:bubble3D val="0"/>
            <c:spPr>
              <a:solidFill>
                <a:schemeClr val="accent4"/>
              </a:solidFill>
            </c:spPr>
            <c:extLst>
              <c:ext xmlns:c16="http://schemas.microsoft.com/office/drawing/2014/chart" uri="{C3380CC4-5D6E-409C-BE32-E72D297353CC}">
                <c16:uniqueId val="{00000013-3612-6D48-ADF0-F58D20808119}"/>
              </c:ext>
            </c:extLst>
          </c:dPt>
          <c:dPt>
            <c:idx val="10"/>
            <c:bubble3D val="0"/>
            <c:spPr>
              <a:solidFill>
                <a:schemeClr val="accent5"/>
              </a:solidFill>
            </c:spPr>
            <c:extLst>
              <c:ext xmlns:c16="http://schemas.microsoft.com/office/drawing/2014/chart" uri="{C3380CC4-5D6E-409C-BE32-E72D297353CC}">
                <c16:uniqueId val="{00000015-3612-6D48-ADF0-F58D20808119}"/>
              </c:ext>
            </c:extLst>
          </c:dPt>
          <c:dPt>
            <c:idx val="11"/>
            <c:bubble3D val="0"/>
            <c:spPr>
              <a:solidFill>
                <a:schemeClr val="accent6"/>
              </a:solidFill>
            </c:spPr>
            <c:extLst>
              <c:ext xmlns:c16="http://schemas.microsoft.com/office/drawing/2014/chart" uri="{C3380CC4-5D6E-409C-BE32-E72D297353CC}">
                <c16:uniqueId val="{00000017-3612-6D48-ADF0-F58D20808119}"/>
              </c:ext>
            </c:extLst>
          </c:dPt>
          <c:dPt>
            <c:idx val="12"/>
            <c:bubble3D val="0"/>
            <c:spPr>
              <a:solidFill>
                <a:schemeClr val="accent1"/>
              </a:solidFill>
            </c:spPr>
            <c:extLst>
              <c:ext xmlns:c16="http://schemas.microsoft.com/office/drawing/2014/chart" uri="{C3380CC4-5D6E-409C-BE32-E72D297353CC}">
                <c16:uniqueId val="{00000019-3612-6D48-ADF0-F58D2080811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'7- DÉPLACEMENTS PERSONNES'!$D$168:$D$180</c:f>
              <c:strCache>
                <c:ptCount val="13"/>
                <c:pt idx="0">
                  <c:v>Taxi</c:v>
                </c:pt>
                <c:pt idx="1">
                  <c:v>Bus</c:v>
                </c:pt>
                <c:pt idx="2">
                  <c:v>Avion</c:v>
                </c:pt>
                <c:pt idx="3">
                  <c:v>Jet Privé</c:v>
                </c:pt>
                <c:pt idx="4">
                  <c:v>Hélicoptère</c:v>
                </c:pt>
                <c:pt idx="5">
                  <c:v>Train</c:v>
                </c:pt>
                <c:pt idx="6">
                  <c:v>TER</c:v>
                </c:pt>
                <c:pt idx="7">
                  <c:v>Voilier</c:v>
                </c:pt>
                <c:pt idx="8">
                  <c:v>Zodiac</c:v>
                </c:pt>
                <c:pt idx="9">
                  <c:v>Yacht</c:v>
                </c:pt>
                <c:pt idx="10">
                  <c:v>Ferry</c:v>
                </c:pt>
                <c:pt idx="11">
                  <c:v>Déplacement de groupes - En ville ou agglomérations</c:v>
                </c:pt>
                <c:pt idx="12">
                  <c:v>Déplacement de groupes - Hors agglo</c:v>
                </c:pt>
              </c:strCache>
            </c:strRef>
          </c:cat>
          <c:val>
            <c:numRef>
              <c:f>'7- DÉPLACEMENTS PERSONNES'!$E$168:$E$180</c:f>
              <c:numCache>
                <c:formatCode>#,##0</c:formatCode>
                <c:ptCount val="13"/>
                <c:pt idx="0">
                  <c:v>0</c:v>
                </c:pt>
                <c:pt idx="1">
                  <c:v>0</c:v>
                </c:pt>
                <c:pt idx="2">
                  <c:v>1864</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3612-6D48-ADF0-F58D2080811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814508484410712"/>
          <c:y val="2.8989802346137263E-2"/>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Tournage</a:t>
            </a:r>
          </a:p>
        </c:rich>
      </c:tx>
      <c:layout>
        <c:manualLayout>
          <c:xMode val="edge"/>
          <c:yMode val="edge"/>
          <c:x val="4.3666806629929937E-2"/>
          <c:y val="6.1955488396456586E-2"/>
        </c:manualLayout>
      </c:layout>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9F08-A54B-89F2-59A4EC8C0911}"/>
              </c:ext>
            </c:extLst>
          </c:dPt>
          <c:dPt>
            <c:idx val="1"/>
            <c:bubble3D val="0"/>
            <c:spPr>
              <a:solidFill>
                <a:schemeClr val="accent2"/>
              </a:solidFill>
            </c:spPr>
            <c:extLst>
              <c:ext xmlns:c16="http://schemas.microsoft.com/office/drawing/2014/chart" uri="{C3380CC4-5D6E-409C-BE32-E72D297353CC}">
                <c16:uniqueId val="{00000003-9F08-A54B-89F2-59A4EC8C0911}"/>
              </c:ext>
            </c:extLst>
          </c:dPt>
          <c:dPt>
            <c:idx val="2"/>
            <c:bubble3D val="0"/>
            <c:spPr>
              <a:solidFill>
                <a:schemeClr val="accent3"/>
              </a:solidFill>
            </c:spPr>
            <c:extLst>
              <c:ext xmlns:c16="http://schemas.microsoft.com/office/drawing/2014/chart" uri="{C3380CC4-5D6E-409C-BE32-E72D297353CC}">
                <c16:uniqueId val="{00000005-9F08-A54B-89F2-59A4EC8C0911}"/>
              </c:ext>
            </c:extLst>
          </c:dPt>
          <c:dPt>
            <c:idx val="3"/>
            <c:bubble3D val="0"/>
            <c:spPr>
              <a:solidFill>
                <a:schemeClr val="accent4"/>
              </a:solidFill>
            </c:spPr>
            <c:extLst>
              <c:ext xmlns:c16="http://schemas.microsoft.com/office/drawing/2014/chart" uri="{C3380CC4-5D6E-409C-BE32-E72D297353CC}">
                <c16:uniqueId val="{00000007-9F08-A54B-89F2-59A4EC8C0911}"/>
              </c:ext>
            </c:extLst>
          </c:dPt>
          <c:dPt>
            <c:idx val="4"/>
            <c:bubble3D val="0"/>
            <c:spPr>
              <a:solidFill>
                <a:schemeClr val="accent5"/>
              </a:solidFill>
            </c:spPr>
            <c:extLst>
              <c:ext xmlns:c16="http://schemas.microsoft.com/office/drawing/2014/chart" uri="{C3380CC4-5D6E-409C-BE32-E72D297353CC}">
                <c16:uniqueId val="{00000009-9F08-A54B-89F2-59A4EC8C0911}"/>
              </c:ext>
            </c:extLst>
          </c:dPt>
          <c:dPt>
            <c:idx val="5"/>
            <c:bubble3D val="0"/>
            <c:spPr>
              <a:solidFill>
                <a:schemeClr val="accent6"/>
              </a:solidFill>
            </c:spPr>
            <c:extLst>
              <c:ext xmlns:c16="http://schemas.microsoft.com/office/drawing/2014/chart" uri="{C3380CC4-5D6E-409C-BE32-E72D297353CC}">
                <c16:uniqueId val="{0000000B-9F08-A54B-89F2-59A4EC8C0911}"/>
              </c:ext>
            </c:extLst>
          </c:dPt>
          <c:dPt>
            <c:idx val="6"/>
            <c:bubble3D val="0"/>
            <c:spPr>
              <a:solidFill>
                <a:schemeClr val="accent1"/>
              </a:solidFill>
            </c:spPr>
            <c:extLst>
              <c:ext xmlns:c16="http://schemas.microsoft.com/office/drawing/2014/chart" uri="{C3380CC4-5D6E-409C-BE32-E72D297353CC}">
                <c16:uniqueId val="{0000000D-9F08-A54B-89F2-59A4EC8C0911}"/>
              </c:ext>
            </c:extLst>
          </c:dPt>
          <c:dPt>
            <c:idx val="7"/>
            <c:bubble3D val="0"/>
            <c:spPr>
              <a:solidFill>
                <a:schemeClr val="accent2"/>
              </a:solidFill>
            </c:spPr>
            <c:extLst>
              <c:ext xmlns:c16="http://schemas.microsoft.com/office/drawing/2014/chart" uri="{C3380CC4-5D6E-409C-BE32-E72D297353CC}">
                <c16:uniqueId val="{0000000F-9F08-A54B-89F2-59A4EC8C0911}"/>
              </c:ext>
            </c:extLst>
          </c:dPt>
          <c:dPt>
            <c:idx val="8"/>
            <c:bubble3D val="0"/>
            <c:spPr>
              <a:solidFill>
                <a:schemeClr val="accent3"/>
              </a:solidFill>
            </c:spPr>
            <c:extLst>
              <c:ext xmlns:c16="http://schemas.microsoft.com/office/drawing/2014/chart" uri="{C3380CC4-5D6E-409C-BE32-E72D297353CC}">
                <c16:uniqueId val="{00000011-9F08-A54B-89F2-59A4EC8C0911}"/>
              </c:ext>
            </c:extLst>
          </c:dPt>
          <c:dPt>
            <c:idx val="9"/>
            <c:bubble3D val="0"/>
            <c:spPr>
              <a:solidFill>
                <a:schemeClr val="accent4"/>
              </a:solidFill>
            </c:spPr>
            <c:extLst>
              <c:ext xmlns:c16="http://schemas.microsoft.com/office/drawing/2014/chart" uri="{C3380CC4-5D6E-409C-BE32-E72D297353CC}">
                <c16:uniqueId val="{00000013-9F08-A54B-89F2-59A4EC8C0911}"/>
              </c:ext>
            </c:extLst>
          </c:dPt>
          <c:dPt>
            <c:idx val="10"/>
            <c:bubble3D val="0"/>
            <c:spPr>
              <a:solidFill>
                <a:schemeClr val="accent5"/>
              </a:solidFill>
            </c:spPr>
            <c:extLst>
              <c:ext xmlns:c16="http://schemas.microsoft.com/office/drawing/2014/chart" uri="{C3380CC4-5D6E-409C-BE32-E72D297353CC}">
                <c16:uniqueId val="{00000015-9F08-A54B-89F2-59A4EC8C0911}"/>
              </c:ext>
            </c:extLst>
          </c:dPt>
          <c:dPt>
            <c:idx val="11"/>
            <c:bubble3D val="0"/>
            <c:spPr>
              <a:solidFill>
                <a:schemeClr val="accent6"/>
              </a:solidFill>
            </c:spPr>
            <c:extLst>
              <c:ext xmlns:c16="http://schemas.microsoft.com/office/drawing/2014/chart" uri="{C3380CC4-5D6E-409C-BE32-E72D297353CC}">
                <c16:uniqueId val="{00000017-9F08-A54B-89F2-59A4EC8C0911}"/>
              </c:ext>
            </c:extLst>
          </c:dPt>
          <c:dPt>
            <c:idx val="12"/>
            <c:bubble3D val="0"/>
            <c:spPr>
              <a:solidFill>
                <a:schemeClr val="accent1"/>
              </a:solidFill>
            </c:spPr>
            <c:extLst>
              <c:ext xmlns:c16="http://schemas.microsoft.com/office/drawing/2014/chart" uri="{C3380CC4-5D6E-409C-BE32-E72D297353CC}">
                <c16:uniqueId val="{00000019-9F08-A54B-89F2-59A4EC8C091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'7- DÉPLACEMENTS PERSONNES'!$D$168:$D$180</c:f>
              <c:strCache>
                <c:ptCount val="13"/>
                <c:pt idx="0">
                  <c:v>Taxi</c:v>
                </c:pt>
                <c:pt idx="1">
                  <c:v>Bus</c:v>
                </c:pt>
                <c:pt idx="2">
                  <c:v>Avion</c:v>
                </c:pt>
                <c:pt idx="3">
                  <c:v>Jet Privé</c:v>
                </c:pt>
                <c:pt idx="4">
                  <c:v>Hélicoptère</c:v>
                </c:pt>
                <c:pt idx="5">
                  <c:v>Train</c:v>
                </c:pt>
                <c:pt idx="6">
                  <c:v>TER</c:v>
                </c:pt>
                <c:pt idx="7">
                  <c:v>Voilier</c:v>
                </c:pt>
                <c:pt idx="8">
                  <c:v>Zodiac</c:v>
                </c:pt>
                <c:pt idx="9">
                  <c:v>Yacht</c:v>
                </c:pt>
                <c:pt idx="10">
                  <c:v>Ferry</c:v>
                </c:pt>
                <c:pt idx="11">
                  <c:v>Déplacement de groupes - En ville ou agglomérations</c:v>
                </c:pt>
                <c:pt idx="12">
                  <c:v>Déplacement de groupes - Hors agglo</c:v>
                </c:pt>
              </c:strCache>
            </c:strRef>
          </c:cat>
          <c:val>
            <c:numRef>
              <c:f>'7- DÉPLACEMENTS PERSONNES'!$F$168:$F$180</c:f>
              <c:numCache>
                <c:formatCode>#,##0</c:formatCode>
                <c:ptCount val="13"/>
                <c:pt idx="0">
                  <c:v>0</c:v>
                </c:pt>
                <c:pt idx="1">
                  <c:v>0</c:v>
                </c:pt>
                <c:pt idx="2">
                  <c:v>115603.68</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9F08-A54B-89F2-59A4EC8C091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1089999264110673"/>
          <c:y val="2.8567212253039383E-2"/>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Finitions &amp; Post-production</a:t>
            </a:r>
          </a:p>
        </c:rich>
      </c:tx>
      <c:layout>
        <c:manualLayout>
          <c:xMode val="edge"/>
          <c:yMode val="edge"/>
          <c:x val="3.0714635107115175E-2"/>
          <c:y val="3.1037827352085354E-2"/>
        </c:manualLayout>
      </c:layout>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2A85-6E49-B383-41CF571020BA}"/>
              </c:ext>
            </c:extLst>
          </c:dPt>
          <c:dPt>
            <c:idx val="1"/>
            <c:bubble3D val="0"/>
            <c:spPr>
              <a:solidFill>
                <a:schemeClr val="accent2"/>
              </a:solidFill>
            </c:spPr>
            <c:extLst>
              <c:ext xmlns:c16="http://schemas.microsoft.com/office/drawing/2014/chart" uri="{C3380CC4-5D6E-409C-BE32-E72D297353CC}">
                <c16:uniqueId val="{00000003-2A85-6E49-B383-41CF571020BA}"/>
              </c:ext>
            </c:extLst>
          </c:dPt>
          <c:dPt>
            <c:idx val="2"/>
            <c:bubble3D val="0"/>
            <c:spPr>
              <a:solidFill>
                <a:schemeClr val="accent3"/>
              </a:solidFill>
            </c:spPr>
            <c:extLst>
              <c:ext xmlns:c16="http://schemas.microsoft.com/office/drawing/2014/chart" uri="{C3380CC4-5D6E-409C-BE32-E72D297353CC}">
                <c16:uniqueId val="{00000005-2A85-6E49-B383-41CF571020BA}"/>
              </c:ext>
            </c:extLst>
          </c:dPt>
          <c:dPt>
            <c:idx val="3"/>
            <c:bubble3D val="0"/>
            <c:spPr>
              <a:solidFill>
                <a:schemeClr val="accent4"/>
              </a:solidFill>
            </c:spPr>
            <c:extLst>
              <c:ext xmlns:c16="http://schemas.microsoft.com/office/drawing/2014/chart" uri="{C3380CC4-5D6E-409C-BE32-E72D297353CC}">
                <c16:uniqueId val="{00000007-2A85-6E49-B383-41CF571020BA}"/>
              </c:ext>
            </c:extLst>
          </c:dPt>
          <c:dPt>
            <c:idx val="4"/>
            <c:bubble3D val="0"/>
            <c:spPr>
              <a:solidFill>
                <a:schemeClr val="accent5"/>
              </a:solidFill>
            </c:spPr>
            <c:extLst>
              <c:ext xmlns:c16="http://schemas.microsoft.com/office/drawing/2014/chart" uri="{C3380CC4-5D6E-409C-BE32-E72D297353CC}">
                <c16:uniqueId val="{00000009-2A85-6E49-B383-41CF571020BA}"/>
              </c:ext>
            </c:extLst>
          </c:dPt>
          <c:dPt>
            <c:idx val="5"/>
            <c:bubble3D val="0"/>
            <c:spPr>
              <a:solidFill>
                <a:schemeClr val="accent6"/>
              </a:solidFill>
            </c:spPr>
            <c:extLst>
              <c:ext xmlns:c16="http://schemas.microsoft.com/office/drawing/2014/chart" uri="{C3380CC4-5D6E-409C-BE32-E72D297353CC}">
                <c16:uniqueId val="{0000000B-2A85-6E49-B383-41CF571020BA}"/>
              </c:ext>
            </c:extLst>
          </c:dPt>
          <c:dPt>
            <c:idx val="6"/>
            <c:bubble3D val="0"/>
            <c:spPr>
              <a:solidFill>
                <a:schemeClr val="accent1"/>
              </a:solidFill>
            </c:spPr>
            <c:extLst>
              <c:ext xmlns:c16="http://schemas.microsoft.com/office/drawing/2014/chart" uri="{C3380CC4-5D6E-409C-BE32-E72D297353CC}">
                <c16:uniqueId val="{0000000D-2A85-6E49-B383-41CF571020BA}"/>
              </c:ext>
            </c:extLst>
          </c:dPt>
          <c:dPt>
            <c:idx val="7"/>
            <c:bubble3D val="0"/>
            <c:spPr>
              <a:solidFill>
                <a:schemeClr val="accent2"/>
              </a:solidFill>
            </c:spPr>
            <c:extLst>
              <c:ext xmlns:c16="http://schemas.microsoft.com/office/drawing/2014/chart" uri="{C3380CC4-5D6E-409C-BE32-E72D297353CC}">
                <c16:uniqueId val="{0000000F-2A85-6E49-B383-41CF571020BA}"/>
              </c:ext>
            </c:extLst>
          </c:dPt>
          <c:dPt>
            <c:idx val="8"/>
            <c:bubble3D val="0"/>
            <c:spPr>
              <a:solidFill>
                <a:schemeClr val="accent3"/>
              </a:solidFill>
            </c:spPr>
            <c:extLst>
              <c:ext xmlns:c16="http://schemas.microsoft.com/office/drawing/2014/chart" uri="{C3380CC4-5D6E-409C-BE32-E72D297353CC}">
                <c16:uniqueId val="{00000011-2A85-6E49-B383-41CF571020BA}"/>
              </c:ext>
            </c:extLst>
          </c:dPt>
          <c:dPt>
            <c:idx val="9"/>
            <c:bubble3D val="0"/>
            <c:spPr>
              <a:solidFill>
                <a:schemeClr val="accent4"/>
              </a:solidFill>
            </c:spPr>
            <c:extLst>
              <c:ext xmlns:c16="http://schemas.microsoft.com/office/drawing/2014/chart" uri="{C3380CC4-5D6E-409C-BE32-E72D297353CC}">
                <c16:uniqueId val="{00000013-2A85-6E49-B383-41CF571020BA}"/>
              </c:ext>
            </c:extLst>
          </c:dPt>
          <c:dPt>
            <c:idx val="10"/>
            <c:bubble3D val="0"/>
            <c:spPr>
              <a:solidFill>
                <a:schemeClr val="accent5"/>
              </a:solidFill>
            </c:spPr>
            <c:extLst>
              <c:ext xmlns:c16="http://schemas.microsoft.com/office/drawing/2014/chart" uri="{C3380CC4-5D6E-409C-BE32-E72D297353CC}">
                <c16:uniqueId val="{00000015-2A85-6E49-B383-41CF571020BA}"/>
              </c:ext>
            </c:extLst>
          </c:dPt>
          <c:dPt>
            <c:idx val="11"/>
            <c:bubble3D val="0"/>
            <c:spPr>
              <a:solidFill>
                <a:schemeClr val="accent6"/>
              </a:solidFill>
            </c:spPr>
            <c:extLst>
              <c:ext xmlns:c16="http://schemas.microsoft.com/office/drawing/2014/chart" uri="{C3380CC4-5D6E-409C-BE32-E72D297353CC}">
                <c16:uniqueId val="{00000017-2A85-6E49-B383-41CF571020BA}"/>
              </c:ext>
            </c:extLst>
          </c:dPt>
          <c:dPt>
            <c:idx val="12"/>
            <c:bubble3D val="0"/>
            <c:spPr>
              <a:solidFill>
                <a:schemeClr val="accent1"/>
              </a:solidFill>
            </c:spPr>
            <c:extLst>
              <c:ext xmlns:c16="http://schemas.microsoft.com/office/drawing/2014/chart" uri="{C3380CC4-5D6E-409C-BE32-E72D297353CC}">
                <c16:uniqueId val="{00000019-2A85-6E49-B383-41CF571020B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'7- DÉPLACEMENTS PERSONNES'!$D$168:$D$180</c:f>
              <c:strCache>
                <c:ptCount val="13"/>
                <c:pt idx="0">
                  <c:v>Taxi</c:v>
                </c:pt>
                <c:pt idx="1">
                  <c:v>Bus</c:v>
                </c:pt>
                <c:pt idx="2">
                  <c:v>Avion</c:v>
                </c:pt>
                <c:pt idx="3">
                  <c:v>Jet Privé</c:v>
                </c:pt>
                <c:pt idx="4">
                  <c:v>Hélicoptère</c:v>
                </c:pt>
                <c:pt idx="5">
                  <c:v>Train</c:v>
                </c:pt>
                <c:pt idx="6">
                  <c:v>TER</c:v>
                </c:pt>
                <c:pt idx="7">
                  <c:v>Voilier</c:v>
                </c:pt>
                <c:pt idx="8">
                  <c:v>Zodiac</c:v>
                </c:pt>
                <c:pt idx="9">
                  <c:v>Yacht</c:v>
                </c:pt>
                <c:pt idx="10">
                  <c:v>Ferry</c:v>
                </c:pt>
                <c:pt idx="11">
                  <c:v>Déplacement de groupes - En ville ou agglomérations</c:v>
                </c:pt>
                <c:pt idx="12">
                  <c:v>Déplacement de groupes - Hors agglo</c:v>
                </c:pt>
              </c:strCache>
            </c:strRef>
          </c:cat>
          <c:val>
            <c:numRef>
              <c:f>'7- DÉPLACEMENTS PERSONNES'!$G$168:$G$180</c:f>
              <c:numCache>
                <c:formatCode>#,##0</c:formatCode>
                <c:ptCount val="13"/>
                <c:pt idx="0">
                  <c:v>50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2A85-6E49-B383-41CF571020B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9972018890711776"/>
          <c:y val="4.7980326416520933E-3"/>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Production totale par type de transport</a:t>
            </a:r>
          </a:p>
        </c:rich>
      </c:tx>
      <c:layout>
        <c:manualLayout>
          <c:xMode val="edge"/>
          <c:yMode val="edge"/>
          <c:x val="0.12006086937062221"/>
          <c:y val="2.5806451612903226E-2"/>
        </c:manualLayout>
      </c:layout>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B6A7-9040-AC31-31ABE039ECF7}"/>
              </c:ext>
            </c:extLst>
          </c:dPt>
          <c:dPt>
            <c:idx val="1"/>
            <c:bubble3D val="0"/>
            <c:spPr>
              <a:solidFill>
                <a:schemeClr val="accent2"/>
              </a:solidFill>
            </c:spPr>
            <c:extLst>
              <c:ext xmlns:c16="http://schemas.microsoft.com/office/drawing/2014/chart" uri="{C3380CC4-5D6E-409C-BE32-E72D297353CC}">
                <c16:uniqueId val="{00000003-B6A7-9040-AC31-31ABE039ECF7}"/>
              </c:ext>
            </c:extLst>
          </c:dPt>
          <c:dPt>
            <c:idx val="2"/>
            <c:bubble3D val="0"/>
            <c:spPr>
              <a:solidFill>
                <a:schemeClr val="accent3"/>
              </a:solidFill>
            </c:spPr>
            <c:extLst>
              <c:ext xmlns:c16="http://schemas.microsoft.com/office/drawing/2014/chart" uri="{C3380CC4-5D6E-409C-BE32-E72D297353CC}">
                <c16:uniqueId val="{00000005-B6A7-9040-AC31-31ABE039ECF7}"/>
              </c:ext>
            </c:extLst>
          </c:dPt>
          <c:dPt>
            <c:idx val="3"/>
            <c:bubble3D val="0"/>
            <c:spPr>
              <a:solidFill>
                <a:schemeClr val="accent4"/>
              </a:solidFill>
            </c:spPr>
            <c:extLst>
              <c:ext xmlns:c16="http://schemas.microsoft.com/office/drawing/2014/chart" uri="{C3380CC4-5D6E-409C-BE32-E72D297353CC}">
                <c16:uniqueId val="{00000007-B6A7-9040-AC31-31ABE039ECF7}"/>
              </c:ext>
            </c:extLst>
          </c:dPt>
          <c:dPt>
            <c:idx val="4"/>
            <c:bubble3D val="0"/>
            <c:spPr>
              <a:solidFill>
                <a:schemeClr val="accent5"/>
              </a:solidFill>
            </c:spPr>
            <c:extLst>
              <c:ext xmlns:c16="http://schemas.microsoft.com/office/drawing/2014/chart" uri="{C3380CC4-5D6E-409C-BE32-E72D297353CC}">
                <c16:uniqueId val="{00000009-B6A7-9040-AC31-31ABE039ECF7}"/>
              </c:ext>
            </c:extLst>
          </c:dPt>
          <c:dPt>
            <c:idx val="5"/>
            <c:bubble3D val="0"/>
            <c:spPr>
              <a:solidFill>
                <a:schemeClr val="accent6"/>
              </a:solidFill>
            </c:spPr>
            <c:extLst>
              <c:ext xmlns:c16="http://schemas.microsoft.com/office/drawing/2014/chart" uri="{C3380CC4-5D6E-409C-BE32-E72D297353CC}">
                <c16:uniqueId val="{0000000B-B6A7-9040-AC31-31ABE039ECF7}"/>
              </c:ext>
            </c:extLst>
          </c:dPt>
          <c:dPt>
            <c:idx val="6"/>
            <c:bubble3D val="0"/>
            <c:spPr>
              <a:solidFill>
                <a:schemeClr val="accent1"/>
              </a:solidFill>
            </c:spPr>
            <c:extLst>
              <c:ext xmlns:c16="http://schemas.microsoft.com/office/drawing/2014/chart" uri="{C3380CC4-5D6E-409C-BE32-E72D297353CC}">
                <c16:uniqueId val="{0000000D-B6A7-9040-AC31-31ABE039ECF7}"/>
              </c:ext>
            </c:extLst>
          </c:dPt>
          <c:dPt>
            <c:idx val="7"/>
            <c:bubble3D val="0"/>
            <c:spPr>
              <a:solidFill>
                <a:schemeClr val="accent2"/>
              </a:solidFill>
            </c:spPr>
            <c:extLst>
              <c:ext xmlns:c16="http://schemas.microsoft.com/office/drawing/2014/chart" uri="{C3380CC4-5D6E-409C-BE32-E72D297353CC}">
                <c16:uniqueId val="{0000000F-B6A7-9040-AC31-31ABE039ECF7}"/>
              </c:ext>
            </c:extLst>
          </c:dPt>
          <c:dPt>
            <c:idx val="8"/>
            <c:bubble3D val="0"/>
            <c:spPr>
              <a:solidFill>
                <a:schemeClr val="accent3"/>
              </a:solidFill>
            </c:spPr>
            <c:extLst>
              <c:ext xmlns:c16="http://schemas.microsoft.com/office/drawing/2014/chart" uri="{C3380CC4-5D6E-409C-BE32-E72D297353CC}">
                <c16:uniqueId val="{00000011-B6A7-9040-AC31-31ABE039ECF7}"/>
              </c:ext>
            </c:extLst>
          </c:dPt>
          <c:dPt>
            <c:idx val="9"/>
            <c:bubble3D val="0"/>
            <c:spPr>
              <a:solidFill>
                <a:schemeClr val="accent4"/>
              </a:solidFill>
            </c:spPr>
            <c:extLst>
              <c:ext xmlns:c16="http://schemas.microsoft.com/office/drawing/2014/chart" uri="{C3380CC4-5D6E-409C-BE32-E72D297353CC}">
                <c16:uniqueId val="{00000013-B6A7-9040-AC31-31ABE039ECF7}"/>
              </c:ext>
            </c:extLst>
          </c:dPt>
          <c:dPt>
            <c:idx val="10"/>
            <c:bubble3D val="0"/>
            <c:spPr>
              <a:solidFill>
                <a:schemeClr val="accent5"/>
              </a:solidFill>
            </c:spPr>
            <c:extLst>
              <c:ext xmlns:c16="http://schemas.microsoft.com/office/drawing/2014/chart" uri="{C3380CC4-5D6E-409C-BE32-E72D297353CC}">
                <c16:uniqueId val="{00000015-B6A7-9040-AC31-31ABE039ECF7}"/>
              </c:ext>
            </c:extLst>
          </c:dPt>
          <c:dPt>
            <c:idx val="11"/>
            <c:bubble3D val="0"/>
            <c:spPr>
              <a:solidFill>
                <a:schemeClr val="accent6"/>
              </a:solidFill>
            </c:spPr>
            <c:extLst>
              <c:ext xmlns:c16="http://schemas.microsoft.com/office/drawing/2014/chart" uri="{C3380CC4-5D6E-409C-BE32-E72D297353CC}">
                <c16:uniqueId val="{00000017-B6A7-9040-AC31-31ABE039ECF7}"/>
              </c:ext>
            </c:extLst>
          </c:dPt>
          <c:dPt>
            <c:idx val="12"/>
            <c:bubble3D val="0"/>
            <c:spPr>
              <a:solidFill>
                <a:schemeClr val="accent1"/>
              </a:solidFill>
            </c:spPr>
            <c:extLst>
              <c:ext xmlns:c16="http://schemas.microsoft.com/office/drawing/2014/chart" uri="{C3380CC4-5D6E-409C-BE32-E72D297353CC}">
                <c16:uniqueId val="{00000019-B6A7-9040-AC31-31ABE039ECF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'7- DÉPLACEMENTS PERSONNES'!$D$168:$D$180</c:f>
              <c:strCache>
                <c:ptCount val="13"/>
                <c:pt idx="0">
                  <c:v>Taxi</c:v>
                </c:pt>
                <c:pt idx="1">
                  <c:v>Bus</c:v>
                </c:pt>
                <c:pt idx="2">
                  <c:v>Avion</c:v>
                </c:pt>
                <c:pt idx="3">
                  <c:v>Jet Privé</c:v>
                </c:pt>
                <c:pt idx="4">
                  <c:v>Hélicoptère</c:v>
                </c:pt>
                <c:pt idx="5">
                  <c:v>Train</c:v>
                </c:pt>
                <c:pt idx="6">
                  <c:v>TER</c:v>
                </c:pt>
                <c:pt idx="7">
                  <c:v>Voilier</c:v>
                </c:pt>
                <c:pt idx="8">
                  <c:v>Zodiac</c:v>
                </c:pt>
                <c:pt idx="9">
                  <c:v>Yacht</c:v>
                </c:pt>
                <c:pt idx="10">
                  <c:v>Ferry</c:v>
                </c:pt>
                <c:pt idx="11">
                  <c:v>Déplacement de groupes - En ville ou agglomérations</c:v>
                </c:pt>
                <c:pt idx="12">
                  <c:v>Déplacement de groupes - Hors agglo</c:v>
                </c:pt>
              </c:strCache>
            </c:strRef>
          </c:cat>
          <c:val>
            <c:numRef>
              <c:f>'7- DÉPLACEMENTS PERSONNES'!$H$168:$H$180</c:f>
              <c:numCache>
                <c:formatCode>#,##0</c:formatCode>
                <c:ptCount val="13"/>
                <c:pt idx="0">
                  <c:v>50</c:v>
                </c:pt>
                <c:pt idx="1">
                  <c:v>0</c:v>
                </c:pt>
                <c:pt idx="2">
                  <c:v>117467.68</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B6A7-9040-AC31-31ABE039ECF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4802447729019963"/>
          <c:y val="0.10109641479905905"/>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1" i="0">
                <a:solidFill>
                  <a:srgbClr val="757575"/>
                </a:solidFill>
                <a:latin typeface="+mn-lt"/>
              </a:defRPr>
            </a:pPr>
            <a:r>
              <a:rPr lang="fr-FR" sz="1400" b="1" i="0">
                <a:solidFill>
                  <a:srgbClr val="757575"/>
                </a:solidFill>
                <a:latin typeface="+mn-lt"/>
              </a:rPr>
              <a:t>REPARTITION DES REPAS SUR LE TOURNAGE</a:t>
            </a:r>
          </a:p>
        </c:rich>
      </c:tx>
      <c:layout>
        <c:manualLayout>
          <c:xMode val="edge"/>
          <c:yMode val="edge"/>
          <c:x val="0.16066405936143099"/>
          <c:y val="4.8680862095052499E-2"/>
        </c:manualLayout>
      </c:layout>
      <c:overlay val="0"/>
    </c:title>
    <c:autoTitleDeleted val="0"/>
    <c:plotArea>
      <c:layout>
        <c:manualLayout>
          <c:layoutTarget val="inner"/>
          <c:xMode val="edge"/>
          <c:yMode val="edge"/>
          <c:x val="0.52651258949195368"/>
          <c:y val="0.33087981818364653"/>
          <c:w val="0.41266189376246931"/>
          <c:h val="0.48776319626713327"/>
        </c:manualLayout>
      </c:layout>
      <c:doughnutChart>
        <c:varyColors val="1"/>
        <c:ser>
          <c:idx val="0"/>
          <c:order val="0"/>
          <c:dPt>
            <c:idx val="0"/>
            <c:bubble3D val="0"/>
            <c:spPr>
              <a:solidFill>
                <a:srgbClr val="C00000"/>
              </a:solidFill>
            </c:spPr>
            <c:extLst>
              <c:ext xmlns:c16="http://schemas.microsoft.com/office/drawing/2014/chart" uri="{C3380CC4-5D6E-409C-BE32-E72D297353CC}">
                <c16:uniqueId val="{00000001-87E1-A240-9558-E638C40334F1}"/>
              </c:ext>
            </c:extLst>
          </c:dPt>
          <c:dPt>
            <c:idx val="1"/>
            <c:bubble3D val="0"/>
            <c:spPr>
              <a:solidFill>
                <a:srgbClr val="FFC000"/>
              </a:solidFill>
            </c:spPr>
            <c:extLst>
              <c:ext xmlns:c16="http://schemas.microsoft.com/office/drawing/2014/chart" uri="{C3380CC4-5D6E-409C-BE32-E72D297353CC}">
                <c16:uniqueId val="{00000003-87E1-A240-9558-E638C40334F1}"/>
              </c:ext>
            </c:extLst>
          </c:dPt>
          <c:dPt>
            <c:idx val="2"/>
            <c:bubble3D val="0"/>
            <c:spPr>
              <a:solidFill>
                <a:srgbClr val="92D050"/>
              </a:solidFill>
            </c:spPr>
            <c:extLst>
              <c:ext xmlns:c16="http://schemas.microsoft.com/office/drawing/2014/chart" uri="{C3380CC4-5D6E-409C-BE32-E72D297353CC}">
                <c16:uniqueId val="{00000005-87E1-A240-9558-E638C40334F1}"/>
              </c:ext>
            </c:extLst>
          </c:dPt>
          <c:dPt>
            <c:idx val="3"/>
            <c:bubble3D val="0"/>
            <c:spPr>
              <a:solidFill>
                <a:srgbClr val="FFC000"/>
              </a:solidFill>
            </c:spPr>
            <c:extLst>
              <c:ext xmlns:c16="http://schemas.microsoft.com/office/drawing/2014/chart" uri="{C3380CC4-5D6E-409C-BE32-E72D297353CC}">
                <c16:uniqueId val="{00000007-87E1-A240-9558-E638C40334F1}"/>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'8- REPAS'!$C$63:$C$66</c:f>
              <c:strCache>
                <c:ptCount val="4"/>
                <c:pt idx="0">
                  <c:v>Viande rouge</c:v>
                </c:pt>
                <c:pt idx="1">
                  <c:v>Viande blanche ou poisson </c:v>
                </c:pt>
                <c:pt idx="2">
                  <c:v>Repas végétariens </c:v>
                </c:pt>
                <c:pt idx="3">
                  <c:v>Repas moyens </c:v>
                </c:pt>
              </c:strCache>
            </c:strRef>
          </c:cat>
          <c:val>
            <c:numRef>
              <c:f>'8- REPAS'!$F$63:$F$66</c:f>
              <c:numCache>
                <c:formatCode>#,##0</c:formatCode>
                <c:ptCount val="4"/>
                <c:pt idx="0">
                  <c:v>21</c:v>
                </c:pt>
                <c:pt idx="1">
                  <c:v>125</c:v>
                </c:pt>
                <c:pt idx="2">
                  <c:v>179</c:v>
                </c:pt>
                <c:pt idx="3">
                  <c:v>0</c:v>
                </c:pt>
              </c:numCache>
            </c:numRef>
          </c:val>
          <c:extLst>
            <c:ext xmlns:c16="http://schemas.microsoft.com/office/drawing/2014/chart" uri="{C3380CC4-5D6E-409C-BE32-E72D297353CC}">
              <c16:uniqueId val="{00000008-87E1-A240-9558-E638C40334F1}"/>
            </c:ext>
          </c:extLst>
        </c:ser>
        <c:dLbls>
          <c:showLegendKey val="0"/>
          <c:showVal val="0"/>
          <c:showCatName val="0"/>
          <c:showSerName val="0"/>
          <c:showPercent val="0"/>
          <c:showBubbleSize val="0"/>
          <c:showLeaderLines val="1"/>
        </c:dLbls>
        <c:firstSliceAng val="0"/>
        <c:holeSize val="60"/>
      </c:doughnutChart>
    </c:plotArea>
    <c:legend>
      <c:legendPos val="t"/>
      <c:layout>
        <c:manualLayout>
          <c:xMode val="edge"/>
          <c:yMode val="edge"/>
          <c:x val="2.2585669781931501E-2"/>
          <c:y val="0.29126840609661597"/>
        </c:manualLayout>
      </c:layout>
      <c:overlay val="0"/>
      <c:txPr>
        <a:bodyPr/>
        <a:lstStyle/>
        <a:p>
          <a:pPr lvl="0">
            <a:defRPr sz="1800" b="0" i="0">
              <a:solidFill>
                <a:srgbClr val="1A1A1A"/>
              </a:solidFill>
              <a:latin typeface="+mn-lt"/>
            </a:defRPr>
          </a:pPr>
          <a:endParaRPr lang="fr-FR"/>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Quantité de déchets en prépa (en kg)</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0E1D-5343-95E8-EF8F049A9183}"/>
              </c:ext>
            </c:extLst>
          </c:dPt>
          <c:dPt>
            <c:idx val="1"/>
            <c:bubble3D val="0"/>
            <c:spPr>
              <a:solidFill>
                <a:schemeClr val="accent2"/>
              </a:solidFill>
            </c:spPr>
            <c:extLst>
              <c:ext xmlns:c16="http://schemas.microsoft.com/office/drawing/2014/chart" uri="{C3380CC4-5D6E-409C-BE32-E72D297353CC}">
                <c16:uniqueId val="{00000003-0E1D-5343-95E8-EF8F049A9183}"/>
              </c:ext>
            </c:extLst>
          </c:dPt>
          <c:dPt>
            <c:idx val="2"/>
            <c:bubble3D val="0"/>
            <c:spPr>
              <a:solidFill>
                <a:schemeClr val="accent3"/>
              </a:solidFill>
            </c:spPr>
            <c:extLst>
              <c:ext xmlns:c16="http://schemas.microsoft.com/office/drawing/2014/chart" uri="{C3380CC4-5D6E-409C-BE32-E72D297353CC}">
                <c16:uniqueId val="{00000005-0E1D-5343-95E8-EF8F049A9183}"/>
              </c:ext>
            </c:extLst>
          </c:dPt>
          <c:dPt>
            <c:idx val="3"/>
            <c:bubble3D val="0"/>
            <c:spPr>
              <a:solidFill>
                <a:schemeClr val="accent4"/>
              </a:solidFill>
            </c:spPr>
            <c:extLst>
              <c:ext xmlns:c16="http://schemas.microsoft.com/office/drawing/2014/chart" uri="{C3380CC4-5D6E-409C-BE32-E72D297353CC}">
                <c16:uniqueId val="{00000007-0E1D-5343-95E8-EF8F049A9183}"/>
              </c:ext>
            </c:extLst>
          </c:dPt>
          <c:dPt>
            <c:idx val="4"/>
            <c:bubble3D val="0"/>
            <c:spPr>
              <a:solidFill>
                <a:schemeClr val="accent5"/>
              </a:solidFill>
            </c:spPr>
            <c:extLst>
              <c:ext xmlns:c16="http://schemas.microsoft.com/office/drawing/2014/chart" uri="{C3380CC4-5D6E-409C-BE32-E72D297353CC}">
                <c16:uniqueId val="{00000009-0E1D-5343-95E8-EF8F049A9183}"/>
              </c:ext>
            </c:extLst>
          </c:dPt>
          <c:dPt>
            <c:idx val="5"/>
            <c:bubble3D val="0"/>
            <c:spPr>
              <a:solidFill>
                <a:schemeClr val="accent6"/>
              </a:solidFill>
            </c:spPr>
            <c:extLst>
              <c:ext xmlns:c16="http://schemas.microsoft.com/office/drawing/2014/chart" uri="{C3380CC4-5D6E-409C-BE32-E72D297353CC}">
                <c16:uniqueId val="{0000000B-0E1D-5343-95E8-EF8F049A9183}"/>
              </c:ext>
            </c:extLst>
          </c:dPt>
          <c:dPt>
            <c:idx val="6"/>
            <c:bubble3D val="0"/>
            <c:spPr>
              <a:solidFill>
                <a:schemeClr val="accent1"/>
              </a:solidFill>
            </c:spPr>
            <c:extLst>
              <c:ext xmlns:c16="http://schemas.microsoft.com/office/drawing/2014/chart" uri="{C3380CC4-5D6E-409C-BE32-E72D297353CC}">
                <c16:uniqueId val="{0000000D-0E1D-5343-95E8-EF8F049A9183}"/>
              </c:ext>
            </c:extLst>
          </c:dPt>
          <c:dPt>
            <c:idx val="7"/>
            <c:bubble3D val="0"/>
            <c:spPr>
              <a:solidFill>
                <a:schemeClr val="accent2"/>
              </a:solidFill>
            </c:spPr>
            <c:extLst>
              <c:ext xmlns:c16="http://schemas.microsoft.com/office/drawing/2014/chart" uri="{C3380CC4-5D6E-409C-BE32-E72D297353CC}">
                <c16:uniqueId val="{0000000F-0E1D-5343-95E8-EF8F049A9183}"/>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'9- DÉCHETS'!$B$247:$B$254</c:f>
              <c:strCache>
                <c:ptCount val="8"/>
                <c:pt idx="0">
                  <c:v>Recyclables</c:v>
                </c:pt>
                <c:pt idx="1">
                  <c:v>Verre</c:v>
                </c:pt>
                <c:pt idx="2">
                  <c:v>Alimentaires</c:v>
                </c:pt>
                <c:pt idx="3">
                  <c:v>DIB - tout-venants</c:v>
                </c:pt>
                <c:pt idx="4">
                  <c:v>Bois - déco</c:v>
                </c:pt>
                <c:pt idx="5">
                  <c:v>Métal - déco</c:v>
                </c:pt>
                <c:pt idx="6">
                  <c:v>Plastiques - déco</c:v>
                </c:pt>
                <c:pt idx="7">
                  <c:v>Déchets spéciaux</c:v>
                </c:pt>
              </c:strCache>
            </c:strRef>
          </c:cat>
          <c:val>
            <c:numRef>
              <c:f>'9- DÉCHETS'!$C$247:$C$254</c:f>
              <c:numCache>
                <c:formatCode>General\ "kg"</c:formatCode>
                <c:ptCount val="8"/>
                <c:pt idx="0">
                  <c:v>3.77</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0E1D-5343-95E8-EF8F049A918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488003191134761"/>
          <c:y val="0.21290281423155435"/>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Quantité de déchets en tournage (en kg)</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C27F-8A45-9FA3-1E5C3A9D0EFA}"/>
              </c:ext>
            </c:extLst>
          </c:dPt>
          <c:dPt>
            <c:idx val="1"/>
            <c:bubble3D val="0"/>
            <c:spPr>
              <a:solidFill>
                <a:schemeClr val="accent2"/>
              </a:solidFill>
            </c:spPr>
            <c:extLst>
              <c:ext xmlns:c16="http://schemas.microsoft.com/office/drawing/2014/chart" uri="{C3380CC4-5D6E-409C-BE32-E72D297353CC}">
                <c16:uniqueId val="{00000003-C27F-8A45-9FA3-1E5C3A9D0EFA}"/>
              </c:ext>
            </c:extLst>
          </c:dPt>
          <c:dPt>
            <c:idx val="2"/>
            <c:bubble3D val="0"/>
            <c:spPr>
              <a:solidFill>
                <a:schemeClr val="accent3"/>
              </a:solidFill>
            </c:spPr>
            <c:extLst>
              <c:ext xmlns:c16="http://schemas.microsoft.com/office/drawing/2014/chart" uri="{C3380CC4-5D6E-409C-BE32-E72D297353CC}">
                <c16:uniqueId val="{00000005-C27F-8A45-9FA3-1E5C3A9D0EFA}"/>
              </c:ext>
            </c:extLst>
          </c:dPt>
          <c:dPt>
            <c:idx val="3"/>
            <c:bubble3D val="0"/>
            <c:spPr>
              <a:solidFill>
                <a:schemeClr val="accent4"/>
              </a:solidFill>
            </c:spPr>
            <c:extLst>
              <c:ext xmlns:c16="http://schemas.microsoft.com/office/drawing/2014/chart" uri="{C3380CC4-5D6E-409C-BE32-E72D297353CC}">
                <c16:uniqueId val="{00000007-C27F-8A45-9FA3-1E5C3A9D0EFA}"/>
              </c:ext>
            </c:extLst>
          </c:dPt>
          <c:dPt>
            <c:idx val="4"/>
            <c:bubble3D val="0"/>
            <c:spPr>
              <a:solidFill>
                <a:schemeClr val="accent5"/>
              </a:solidFill>
            </c:spPr>
            <c:extLst>
              <c:ext xmlns:c16="http://schemas.microsoft.com/office/drawing/2014/chart" uri="{C3380CC4-5D6E-409C-BE32-E72D297353CC}">
                <c16:uniqueId val="{00000009-C27F-8A45-9FA3-1E5C3A9D0EFA}"/>
              </c:ext>
            </c:extLst>
          </c:dPt>
          <c:dPt>
            <c:idx val="5"/>
            <c:bubble3D val="0"/>
            <c:spPr>
              <a:solidFill>
                <a:schemeClr val="accent6"/>
              </a:solidFill>
            </c:spPr>
            <c:extLst>
              <c:ext xmlns:c16="http://schemas.microsoft.com/office/drawing/2014/chart" uri="{C3380CC4-5D6E-409C-BE32-E72D297353CC}">
                <c16:uniqueId val="{0000000B-C27F-8A45-9FA3-1E5C3A9D0EFA}"/>
              </c:ext>
            </c:extLst>
          </c:dPt>
          <c:dPt>
            <c:idx val="6"/>
            <c:bubble3D val="0"/>
            <c:spPr>
              <a:solidFill>
                <a:schemeClr val="accent1"/>
              </a:solidFill>
            </c:spPr>
            <c:extLst>
              <c:ext xmlns:c16="http://schemas.microsoft.com/office/drawing/2014/chart" uri="{C3380CC4-5D6E-409C-BE32-E72D297353CC}">
                <c16:uniqueId val="{0000000D-C27F-8A45-9FA3-1E5C3A9D0EFA}"/>
              </c:ext>
            </c:extLst>
          </c:dPt>
          <c:dPt>
            <c:idx val="7"/>
            <c:bubble3D val="0"/>
            <c:spPr>
              <a:solidFill>
                <a:schemeClr val="accent2"/>
              </a:solidFill>
            </c:spPr>
            <c:extLst>
              <c:ext xmlns:c16="http://schemas.microsoft.com/office/drawing/2014/chart" uri="{C3380CC4-5D6E-409C-BE32-E72D297353CC}">
                <c16:uniqueId val="{0000000F-C27F-8A45-9FA3-1E5C3A9D0EF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'9- DÉCHETS'!$B$247:$B$254</c:f>
              <c:strCache>
                <c:ptCount val="8"/>
                <c:pt idx="0">
                  <c:v>Recyclables</c:v>
                </c:pt>
                <c:pt idx="1">
                  <c:v>Verre</c:v>
                </c:pt>
                <c:pt idx="2">
                  <c:v>Alimentaires</c:v>
                </c:pt>
                <c:pt idx="3">
                  <c:v>DIB - tout-venants</c:v>
                </c:pt>
                <c:pt idx="4">
                  <c:v>Bois - déco</c:v>
                </c:pt>
                <c:pt idx="5">
                  <c:v>Métal - déco</c:v>
                </c:pt>
                <c:pt idx="6">
                  <c:v>Plastiques - déco</c:v>
                </c:pt>
                <c:pt idx="7">
                  <c:v>Déchets spéciaux</c:v>
                </c:pt>
              </c:strCache>
            </c:strRef>
          </c:cat>
          <c:val>
            <c:numRef>
              <c:f>'9- DÉCHETS'!$D$247:$D$254</c:f>
              <c:numCache>
                <c:formatCode>General\ "kg"</c:formatCode>
                <c:ptCount val="8"/>
                <c:pt idx="0">
                  <c:v>0</c:v>
                </c:pt>
                <c:pt idx="1">
                  <c:v>0</c:v>
                </c:pt>
                <c:pt idx="2">
                  <c:v>9.9600000000000009</c:v>
                </c:pt>
                <c:pt idx="3">
                  <c:v>16.11</c:v>
                </c:pt>
                <c:pt idx="4">
                  <c:v>0</c:v>
                </c:pt>
                <c:pt idx="5">
                  <c:v>0</c:v>
                </c:pt>
                <c:pt idx="6">
                  <c:v>0</c:v>
                </c:pt>
                <c:pt idx="7">
                  <c:v>0</c:v>
                </c:pt>
              </c:numCache>
            </c:numRef>
          </c:val>
          <c:extLst>
            <c:ext xmlns:c16="http://schemas.microsoft.com/office/drawing/2014/chart" uri="{C3380CC4-5D6E-409C-BE32-E72D297353CC}">
              <c16:uniqueId val="{00000010-C27F-8A45-9FA3-1E5C3A9D0EF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488003191134761"/>
          <c:y val="0.21290281423155435"/>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Quantité de déchets en finitions/post-prod (en kg)</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1616-0746-8FBC-45450A3F15DD}"/>
              </c:ext>
            </c:extLst>
          </c:dPt>
          <c:dPt>
            <c:idx val="1"/>
            <c:bubble3D val="0"/>
            <c:spPr>
              <a:solidFill>
                <a:schemeClr val="accent2"/>
              </a:solidFill>
            </c:spPr>
            <c:extLst>
              <c:ext xmlns:c16="http://schemas.microsoft.com/office/drawing/2014/chart" uri="{C3380CC4-5D6E-409C-BE32-E72D297353CC}">
                <c16:uniqueId val="{00000003-1616-0746-8FBC-45450A3F15DD}"/>
              </c:ext>
            </c:extLst>
          </c:dPt>
          <c:dPt>
            <c:idx val="2"/>
            <c:bubble3D val="0"/>
            <c:spPr>
              <a:solidFill>
                <a:schemeClr val="accent3"/>
              </a:solidFill>
            </c:spPr>
            <c:extLst>
              <c:ext xmlns:c16="http://schemas.microsoft.com/office/drawing/2014/chart" uri="{C3380CC4-5D6E-409C-BE32-E72D297353CC}">
                <c16:uniqueId val="{00000005-1616-0746-8FBC-45450A3F15DD}"/>
              </c:ext>
            </c:extLst>
          </c:dPt>
          <c:dPt>
            <c:idx val="3"/>
            <c:bubble3D val="0"/>
            <c:spPr>
              <a:solidFill>
                <a:schemeClr val="accent4"/>
              </a:solidFill>
            </c:spPr>
            <c:extLst>
              <c:ext xmlns:c16="http://schemas.microsoft.com/office/drawing/2014/chart" uri="{C3380CC4-5D6E-409C-BE32-E72D297353CC}">
                <c16:uniqueId val="{00000007-1616-0746-8FBC-45450A3F15DD}"/>
              </c:ext>
            </c:extLst>
          </c:dPt>
          <c:dPt>
            <c:idx val="4"/>
            <c:bubble3D val="0"/>
            <c:spPr>
              <a:solidFill>
                <a:schemeClr val="accent5"/>
              </a:solidFill>
            </c:spPr>
            <c:extLst>
              <c:ext xmlns:c16="http://schemas.microsoft.com/office/drawing/2014/chart" uri="{C3380CC4-5D6E-409C-BE32-E72D297353CC}">
                <c16:uniqueId val="{00000009-1616-0746-8FBC-45450A3F15DD}"/>
              </c:ext>
            </c:extLst>
          </c:dPt>
          <c:dPt>
            <c:idx val="5"/>
            <c:bubble3D val="0"/>
            <c:spPr>
              <a:solidFill>
                <a:schemeClr val="accent6"/>
              </a:solidFill>
            </c:spPr>
            <c:extLst>
              <c:ext xmlns:c16="http://schemas.microsoft.com/office/drawing/2014/chart" uri="{C3380CC4-5D6E-409C-BE32-E72D297353CC}">
                <c16:uniqueId val="{0000000B-1616-0746-8FBC-45450A3F15DD}"/>
              </c:ext>
            </c:extLst>
          </c:dPt>
          <c:dPt>
            <c:idx val="6"/>
            <c:bubble3D val="0"/>
            <c:spPr>
              <a:solidFill>
                <a:schemeClr val="accent1"/>
              </a:solidFill>
            </c:spPr>
            <c:extLst>
              <c:ext xmlns:c16="http://schemas.microsoft.com/office/drawing/2014/chart" uri="{C3380CC4-5D6E-409C-BE32-E72D297353CC}">
                <c16:uniqueId val="{0000000D-1616-0746-8FBC-45450A3F15DD}"/>
              </c:ext>
            </c:extLst>
          </c:dPt>
          <c:dPt>
            <c:idx val="7"/>
            <c:bubble3D val="0"/>
            <c:spPr>
              <a:solidFill>
                <a:schemeClr val="accent2"/>
              </a:solidFill>
            </c:spPr>
            <c:extLst>
              <c:ext xmlns:c16="http://schemas.microsoft.com/office/drawing/2014/chart" uri="{C3380CC4-5D6E-409C-BE32-E72D297353CC}">
                <c16:uniqueId val="{0000000F-1616-0746-8FBC-45450A3F15D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'9- DÉCHETS'!$B$247:$B$254</c:f>
              <c:strCache>
                <c:ptCount val="8"/>
                <c:pt idx="0">
                  <c:v>Recyclables</c:v>
                </c:pt>
                <c:pt idx="1">
                  <c:v>Verre</c:v>
                </c:pt>
                <c:pt idx="2">
                  <c:v>Alimentaires</c:v>
                </c:pt>
                <c:pt idx="3">
                  <c:v>DIB - tout-venants</c:v>
                </c:pt>
                <c:pt idx="4">
                  <c:v>Bois - déco</c:v>
                </c:pt>
                <c:pt idx="5">
                  <c:v>Métal - déco</c:v>
                </c:pt>
                <c:pt idx="6">
                  <c:v>Plastiques - déco</c:v>
                </c:pt>
                <c:pt idx="7">
                  <c:v>Déchets spéciaux</c:v>
                </c:pt>
              </c:strCache>
            </c:strRef>
          </c:cat>
          <c:val>
            <c:numRef>
              <c:f>'9- DÉCHETS'!$E$247:$E$254</c:f>
              <c:numCache>
                <c:formatCode>General\ "kg"</c:formatCode>
                <c:ptCount val="8"/>
                <c:pt idx="0">
                  <c:v>0</c:v>
                </c:pt>
                <c:pt idx="1">
                  <c:v>6.35</c:v>
                </c:pt>
                <c:pt idx="2">
                  <c:v>0</c:v>
                </c:pt>
                <c:pt idx="3">
                  <c:v>0</c:v>
                </c:pt>
                <c:pt idx="4">
                  <c:v>0</c:v>
                </c:pt>
                <c:pt idx="5">
                  <c:v>0</c:v>
                </c:pt>
                <c:pt idx="6">
                  <c:v>0</c:v>
                </c:pt>
                <c:pt idx="7">
                  <c:v>0</c:v>
                </c:pt>
              </c:numCache>
            </c:numRef>
          </c:val>
          <c:extLst>
            <c:ext xmlns:c16="http://schemas.microsoft.com/office/drawing/2014/chart" uri="{C3380CC4-5D6E-409C-BE32-E72D297353CC}">
              <c16:uniqueId val="{00000010-1616-0746-8FBC-45450A3F15D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488013029220585"/>
          <c:y val="0.2425849300336585"/>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Quantité de déchets sur la globalité de la production(en kg)</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6BF1-6A4B-A82F-7BD44095260B}"/>
              </c:ext>
            </c:extLst>
          </c:dPt>
          <c:dPt>
            <c:idx val="1"/>
            <c:bubble3D val="0"/>
            <c:spPr>
              <a:solidFill>
                <a:schemeClr val="accent2"/>
              </a:solidFill>
            </c:spPr>
            <c:extLst>
              <c:ext xmlns:c16="http://schemas.microsoft.com/office/drawing/2014/chart" uri="{C3380CC4-5D6E-409C-BE32-E72D297353CC}">
                <c16:uniqueId val="{00000003-6BF1-6A4B-A82F-7BD44095260B}"/>
              </c:ext>
            </c:extLst>
          </c:dPt>
          <c:dPt>
            <c:idx val="2"/>
            <c:bubble3D val="0"/>
            <c:spPr>
              <a:solidFill>
                <a:schemeClr val="accent3"/>
              </a:solidFill>
            </c:spPr>
            <c:extLst>
              <c:ext xmlns:c16="http://schemas.microsoft.com/office/drawing/2014/chart" uri="{C3380CC4-5D6E-409C-BE32-E72D297353CC}">
                <c16:uniqueId val="{00000005-6BF1-6A4B-A82F-7BD44095260B}"/>
              </c:ext>
            </c:extLst>
          </c:dPt>
          <c:dPt>
            <c:idx val="3"/>
            <c:bubble3D val="0"/>
            <c:spPr>
              <a:solidFill>
                <a:schemeClr val="accent4"/>
              </a:solidFill>
            </c:spPr>
            <c:extLst>
              <c:ext xmlns:c16="http://schemas.microsoft.com/office/drawing/2014/chart" uri="{C3380CC4-5D6E-409C-BE32-E72D297353CC}">
                <c16:uniqueId val="{00000007-6BF1-6A4B-A82F-7BD44095260B}"/>
              </c:ext>
            </c:extLst>
          </c:dPt>
          <c:dPt>
            <c:idx val="4"/>
            <c:bubble3D val="0"/>
            <c:spPr>
              <a:solidFill>
                <a:schemeClr val="accent5"/>
              </a:solidFill>
            </c:spPr>
            <c:extLst>
              <c:ext xmlns:c16="http://schemas.microsoft.com/office/drawing/2014/chart" uri="{C3380CC4-5D6E-409C-BE32-E72D297353CC}">
                <c16:uniqueId val="{00000009-6BF1-6A4B-A82F-7BD44095260B}"/>
              </c:ext>
            </c:extLst>
          </c:dPt>
          <c:dPt>
            <c:idx val="5"/>
            <c:bubble3D val="0"/>
            <c:spPr>
              <a:solidFill>
                <a:schemeClr val="accent6"/>
              </a:solidFill>
            </c:spPr>
            <c:extLst>
              <c:ext xmlns:c16="http://schemas.microsoft.com/office/drawing/2014/chart" uri="{C3380CC4-5D6E-409C-BE32-E72D297353CC}">
                <c16:uniqueId val="{0000000B-6BF1-6A4B-A82F-7BD44095260B}"/>
              </c:ext>
            </c:extLst>
          </c:dPt>
          <c:dPt>
            <c:idx val="6"/>
            <c:bubble3D val="0"/>
            <c:spPr>
              <a:solidFill>
                <a:schemeClr val="accent1"/>
              </a:solidFill>
            </c:spPr>
            <c:extLst>
              <c:ext xmlns:c16="http://schemas.microsoft.com/office/drawing/2014/chart" uri="{C3380CC4-5D6E-409C-BE32-E72D297353CC}">
                <c16:uniqueId val="{0000000D-6BF1-6A4B-A82F-7BD44095260B}"/>
              </c:ext>
            </c:extLst>
          </c:dPt>
          <c:dPt>
            <c:idx val="7"/>
            <c:bubble3D val="0"/>
            <c:spPr>
              <a:solidFill>
                <a:schemeClr val="accent2"/>
              </a:solidFill>
            </c:spPr>
            <c:extLst>
              <c:ext xmlns:c16="http://schemas.microsoft.com/office/drawing/2014/chart" uri="{C3380CC4-5D6E-409C-BE32-E72D297353CC}">
                <c16:uniqueId val="{0000000F-6BF1-6A4B-A82F-7BD44095260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'9- DÉCHETS'!$B$247:$B$254</c:f>
              <c:strCache>
                <c:ptCount val="8"/>
                <c:pt idx="0">
                  <c:v>Recyclables</c:v>
                </c:pt>
                <c:pt idx="1">
                  <c:v>Verre</c:v>
                </c:pt>
                <c:pt idx="2">
                  <c:v>Alimentaires</c:v>
                </c:pt>
                <c:pt idx="3">
                  <c:v>DIB - tout-venants</c:v>
                </c:pt>
                <c:pt idx="4">
                  <c:v>Bois - déco</c:v>
                </c:pt>
                <c:pt idx="5">
                  <c:v>Métal - déco</c:v>
                </c:pt>
                <c:pt idx="6">
                  <c:v>Plastiques - déco</c:v>
                </c:pt>
                <c:pt idx="7">
                  <c:v>Déchets spéciaux</c:v>
                </c:pt>
              </c:strCache>
            </c:strRef>
          </c:cat>
          <c:val>
            <c:numRef>
              <c:f>'9- DÉCHETS'!$F$247:$F$254</c:f>
              <c:numCache>
                <c:formatCode>General\ "kg"</c:formatCode>
                <c:ptCount val="8"/>
                <c:pt idx="0">
                  <c:v>3.77</c:v>
                </c:pt>
                <c:pt idx="1">
                  <c:v>6.35</c:v>
                </c:pt>
                <c:pt idx="2">
                  <c:v>9.9600000000000009</c:v>
                </c:pt>
                <c:pt idx="3">
                  <c:v>16.11</c:v>
                </c:pt>
                <c:pt idx="4">
                  <c:v>0</c:v>
                </c:pt>
                <c:pt idx="5">
                  <c:v>0</c:v>
                </c:pt>
                <c:pt idx="6">
                  <c:v>0</c:v>
                </c:pt>
                <c:pt idx="7">
                  <c:v>0</c:v>
                </c:pt>
              </c:numCache>
            </c:numRef>
          </c:val>
          <c:extLst>
            <c:ext xmlns:c16="http://schemas.microsoft.com/office/drawing/2014/chart" uri="{C3380CC4-5D6E-409C-BE32-E72D297353CC}">
              <c16:uniqueId val="{00000010-6BF1-6A4B-A82F-7BD44095260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488003191134761"/>
          <c:y val="0.21290281423155435"/>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CF78-9148-88DB-AC2BBDF3E114}"/>
              </c:ext>
            </c:extLst>
          </c:dPt>
          <c:dPt>
            <c:idx val="1"/>
            <c:bubble3D val="0"/>
            <c:spPr>
              <a:solidFill>
                <a:schemeClr val="accent2"/>
              </a:solidFill>
            </c:spPr>
            <c:extLst>
              <c:ext xmlns:c16="http://schemas.microsoft.com/office/drawing/2014/chart" uri="{C3380CC4-5D6E-409C-BE32-E72D297353CC}">
                <c16:uniqueId val="{00000003-CF78-9148-88DB-AC2BBDF3E114}"/>
              </c:ext>
            </c:extLst>
          </c:dPt>
          <c:dPt>
            <c:idx val="2"/>
            <c:bubble3D val="0"/>
            <c:spPr>
              <a:solidFill>
                <a:schemeClr val="accent3"/>
              </a:solidFill>
            </c:spPr>
            <c:extLst>
              <c:ext xmlns:c16="http://schemas.microsoft.com/office/drawing/2014/chart" uri="{C3380CC4-5D6E-409C-BE32-E72D297353CC}">
                <c16:uniqueId val="{00000005-CF78-9148-88DB-AC2BBDF3E114}"/>
              </c:ext>
            </c:extLst>
          </c:dPt>
          <c:dPt>
            <c:idx val="3"/>
            <c:bubble3D val="0"/>
            <c:spPr>
              <a:solidFill>
                <a:schemeClr val="accent4"/>
              </a:solidFill>
            </c:spPr>
            <c:extLst>
              <c:ext xmlns:c16="http://schemas.microsoft.com/office/drawing/2014/chart" uri="{C3380CC4-5D6E-409C-BE32-E72D297353CC}">
                <c16:uniqueId val="{00000007-CF78-9148-88DB-AC2BBDF3E114}"/>
              </c:ext>
            </c:extLst>
          </c:dPt>
          <c:dPt>
            <c:idx val="4"/>
            <c:bubble3D val="0"/>
            <c:spPr>
              <a:solidFill>
                <a:schemeClr val="accent5"/>
              </a:solidFill>
            </c:spPr>
            <c:extLst>
              <c:ext xmlns:c16="http://schemas.microsoft.com/office/drawing/2014/chart" uri="{C3380CC4-5D6E-409C-BE32-E72D297353CC}">
                <c16:uniqueId val="{00000009-CF78-9148-88DB-AC2BBDF3E114}"/>
              </c:ext>
            </c:extLst>
          </c:dPt>
          <c:dPt>
            <c:idx val="5"/>
            <c:bubble3D val="0"/>
            <c:spPr>
              <a:solidFill>
                <a:schemeClr val="accent6"/>
              </a:solidFill>
            </c:spPr>
            <c:extLst>
              <c:ext xmlns:c16="http://schemas.microsoft.com/office/drawing/2014/chart" uri="{C3380CC4-5D6E-409C-BE32-E72D297353CC}">
                <c16:uniqueId val="{0000000B-CF78-9148-88DB-AC2BBDF3E114}"/>
              </c:ext>
            </c:extLst>
          </c:dPt>
          <c:dPt>
            <c:idx val="6"/>
            <c:bubble3D val="0"/>
            <c:spPr>
              <a:solidFill>
                <a:schemeClr val="accent1"/>
              </a:solidFill>
            </c:spPr>
            <c:extLst>
              <c:ext xmlns:c16="http://schemas.microsoft.com/office/drawing/2014/chart" uri="{C3380CC4-5D6E-409C-BE32-E72D297353CC}">
                <c16:uniqueId val="{0000000D-CF78-9148-88DB-AC2BBDF3E114}"/>
              </c:ext>
            </c:extLst>
          </c:dPt>
          <c:dPt>
            <c:idx val="7"/>
            <c:bubble3D val="0"/>
            <c:spPr>
              <a:solidFill>
                <a:schemeClr val="accent2"/>
              </a:solidFill>
            </c:spPr>
            <c:extLst>
              <c:ext xmlns:c16="http://schemas.microsoft.com/office/drawing/2014/chart" uri="{C3380CC4-5D6E-409C-BE32-E72D297353CC}">
                <c16:uniqueId val="{0000000F-CF78-9148-88DB-AC2BBDF3E114}"/>
              </c:ext>
            </c:extLst>
          </c:dPt>
          <c:dPt>
            <c:idx val="8"/>
            <c:bubble3D val="0"/>
            <c:spPr>
              <a:solidFill>
                <a:schemeClr val="accent3"/>
              </a:solidFill>
            </c:spPr>
            <c:extLst>
              <c:ext xmlns:c16="http://schemas.microsoft.com/office/drawing/2014/chart" uri="{C3380CC4-5D6E-409C-BE32-E72D297353CC}">
                <c16:uniqueId val="{00000011-CF78-9148-88DB-AC2BBDF3E114}"/>
              </c:ext>
            </c:extLst>
          </c:dPt>
          <c:dPt>
            <c:idx val="9"/>
            <c:bubble3D val="0"/>
            <c:spPr>
              <a:solidFill>
                <a:schemeClr val="accent4"/>
              </a:solidFill>
            </c:spPr>
            <c:extLst>
              <c:ext xmlns:c16="http://schemas.microsoft.com/office/drawing/2014/chart" uri="{C3380CC4-5D6E-409C-BE32-E72D297353CC}">
                <c16:uniqueId val="{00000013-CF78-9148-88DB-AC2BBDF3E11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LEGERS'!$G$125:$G$134</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LEGERS'!$I$125:$I$134</c:f>
              <c:numCache>
                <c:formatCode>General</c:formatCode>
                <c:ptCount val="10"/>
                <c:pt idx="0">
                  <c:v>0</c:v>
                </c:pt>
                <c:pt idx="1">
                  <c:v>0</c:v>
                </c:pt>
                <c:pt idx="2">
                  <c:v>0</c:v>
                </c:pt>
                <c:pt idx="3">
                  <c:v>0</c:v>
                </c:pt>
                <c:pt idx="4">
                  <c:v>1000</c:v>
                </c:pt>
                <c:pt idx="5">
                  <c:v>0</c:v>
                </c:pt>
                <c:pt idx="6">
                  <c:v>0</c:v>
                </c:pt>
                <c:pt idx="7">
                  <c:v>0</c:v>
                </c:pt>
                <c:pt idx="8">
                  <c:v>0</c:v>
                </c:pt>
                <c:pt idx="9">
                  <c:v>0</c:v>
                </c:pt>
              </c:numCache>
            </c:numRef>
          </c:val>
          <c:extLst>
            <c:ext xmlns:c16="http://schemas.microsoft.com/office/drawing/2014/chart" uri="{C3380CC4-5D6E-409C-BE32-E72D297353CC}">
              <c16:uniqueId val="{00000014-CF78-9148-88DB-AC2BBDF3E114}"/>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0A05-7F4C-BC38-4F0248D382AB}"/>
              </c:ext>
            </c:extLst>
          </c:dPt>
          <c:dPt>
            <c:idx val="1"/>
            <c:bubble3D val="0"/>
            <c:spPr>
              <a:solidFill>
                <a:schemeClr val="accent2"/>
              </a:solidFill>
              <a:ln>
                <a:noFill/>
              </a:ln>
              <a:effectLst/>
            </c:spPr>
            <c:extLst>
              <c:ext xmlns:c16="http://schemas.microsoft.com/office/drawing/2014/chart" uri="{C3380CC4-5D6E-409C-BE32-E72D297353CC}">
                <c16:uniqueId val="{00000003-0A05-7F4C-BC38-4F0248D382AB}"/>
              </c:ext>
            </c:extLst>
          </c:dPt>
          <c:dPt>
            <c:idx val="2"/>
            <c:bubble3D val="0"/>
            <c:spPr>
              <a:solidFill>
                <a:schemeClr val="accent3"/>
              </a:solidFill>
              <a:ln>
                <a:noFill/>
              </a:ln>
              <a:effectLst/>
            </c:spPr>
            <c:extLst>
              <c:ext xmlns:c16="http://schemas.microsoft.com/office/drawing/2014/chart" uri="{C3380CC4-5D6E-409C-BE32-E72D297353CC}">
                <c16:uniqueId val="{00000005-0A05-7F4C-BC38-4F0248D382AB}"/>
              </c:ext>
            </c:extLst>
          </c:dPt>
          <c:dPt>
            <c:idx val="3"/>
            <c:bubble3D val="0"/>
            <c:spPr>
              <a:solidFill>
                <a:schemeClr val="accent4"/>
              </a:solidFill>
              <a:ln>
                <a:noFill/>
              </a:ln>
              <a:effectLst/>
            </c:spPr>
            <c:extLst>
              <c:ext xmlns:c16="http://schemas.microsoft.com/office/drawing/2014/chart" uri="{C3380CC4-5D6E-409C-BE32-E72D297353CC}">
                <c16:uniqueId val="{00000007-0A05-7F4C-BC38-4F0248D382A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fr-FR"/>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'10- MOYENS TECHNIQUES'!$D$46:$D$49</c:f>
              <c:strCache>
                <c:ptCount val="4"/>
                <c:pt idx="0">
                  <c:v>Total Matériel Prise de vue</c:v>
                </c:pt>
                <c:pt idx="1">
                  <c:v>Total Matériel Machinerie</c:v>
                </c:pt>
                <c:pt idx="2">
                  <c:v>Total Matériel Eclairage</c:v>
                </c:pt>
                <c:pt idx="3">
                  <c:v>Total Matériel Son</c:v>
                </c:pt>
              </c:strCache>
            </c:strRef>
          </c:cat>
          <c:val>
            <c:numRef>
              <c:f>'10- MOYENS TECHNIQUES'!$F$46:$F$49</c:f>
              <c:numCache>
                <c:formatCode>General\ "jour(s)"</c:formatCode>
                <c:ptCount val="4"/>
                <c:pt idx="0">
                  <c:v>25</c:v>
                </c:pt>
                <c:pt idx="1">
                  <c:v>0</c:v>
                </c:pt>
                <c:pt idx="2">
                  <c:v>0</c:v>
                </c:pt>
                <c:pt idx="3">
                  <c:v>0</c:v>
                </c:pt>
              </c:numCache>
            </c:numRef>
          </c:val>
          <c:extLst>
            <c:ext xmlns:c16="http://schemas.microsoft.com/office/drawing/2014/chart" uri="{C3380CC4-5D6E-409C-BE32-E72D297353CC}">
              <c16:uniqueId val="{00000008-0A05-7F4C-BC38-4F0248D382A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lvl="0">
            <a:defRPr sz="900" b="0" i="0" u="none" strike="noStrike" kern="1200" baseline="0">
              <a:solidFill>
                <a:schemeClr val="dk1"/>
              </a:solidFill>
              <a:latin typeface="+mn-lt"/>
              <a:ea typeface="+mn-ea"/>
              <a:cs typeface="+mn-cs"/>
            </a:defRPr>
          </a:pPr>
          <a:endParaRPr lang="fr-FR"/>
        </a:p>
      </c:txPr>
    </c:legend>
    <c:plotVisOnly val="1"/>
    <c:dispBlanksAs val="zero"/>
    <c:showDLblsOverMax val="1"/>
  </c:chart>
  <c:spPr>
    <a:solidFill>
      <a:schemeClr val="lt1"/>
    </a:solidFill>
    <a:ln w="6350" cap="flat" cmpd="sng" algn="ctr">
      <a:solidFill>
        <a:schemeClr val="tx1">
          <a:tint val="75000"/>
        </a:schemeClr>
      </a:solidFill>
      <a:prstDash val="solid"/>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1" i="0">
                <a:solidFill>
                  <a:srgbClr val="757575"/>
                </a:solidFill>
                <a:latin typeface="+mn-lt"/>
              </a:defRPr>
            </a:pPr>
            <a:r>
              <a:rPr sz="1400" b="1" i="0">
                <a:solidFill>
                  <a:srgbClr val="757575"/>
                </a:solidFill>
                <a:latin typeface="+mn-lt"/>
              </a:rPr>
              <a:t>En nombre de kms</a:t>
            </a:r>
          </a:p>
        </c:rich>
      </c:tx>
      <c:overlay val="0"/>
    </c:title>
    <c:autoTitleDeleted val="0"/>
    <c:plotArea>
      <c:layout/>
      <c:barChart>
        <c:barDir val="bar"/>
        <c:grouping val="clustered"/>
        <c:varyColors val="1"/>
        <c:ser>
          <c:idx val="0"/>
          <c:order val="0"/>
          <c:spPr>
            <a:solidFill>
              <a:srgbClr val="4472C4"/>
            </a:solidFill>
            <a:ln cmpd="sng">
              <a:solidFill>
                <a:srgbClr val="000000"/>
              </a:solidFill>
            </a:ln>
          </c:spPr>
          <c:invertIfNegative val="1"/>
          <c:cat>
            <c:strRef>
              <c:f>'4- VEHICULES UTILITAIRES'!$L$79</c:f>
              <c:strCache>
                <c:ptCount val="1"/>
                <c:pt idx="0">
                  <c:v>Nb de kms des voitures éléctriques</c:v>
                </c:pt>
              </c:strCache>
            </c:strRef>
          </c:cat>
          <c:val>
            <c:numRef>
              <c:f>'4- VEHICULES UTILITAIRES'!$L$82</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5B6-3541-B0DA-5BFD5932E857}"/>
            </c:ext>
          </c:extLst>
        </c:ser>
        <c:ser>
          <c:idx val="1"/>
          <c:order val="1"/>
          <c:spPr>
            <a:solidFill>
              <a:srgbClr val="ED7D31"/>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2-C5B6-3541-B0DA-5BFD5932E857}"/>
              </c:ext>
            </c:extLst>
          </c:dPt>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4-C5B6-3541-B0DA-5BFD5932E857}"/>
              </c:ext>
            </c:extLst>
          </c:dPt>
          <c:dPt>
            <c:idx val="3"/>
            <c:invertIfNegative val="1"/>
            <c:bubble3D val="0"/>
            <c:spPr>
              <a:solidFill>
                <a:srgbClr val="C00000"/>
              </a:solidFill>
              <a:ln cmpd="sng">
                <a:solidFill>
                  <a:srgbClr val="000000"/>
                </a:solidFill>
              </a:ln>
            </c:spPr>
            <c:extLst>
              <c:ext xmlns:c16="http://schemas.microsoft.com/office/drawing/2014/chart" uri="{C3380CC4-5D6E-409C-BE32-E72D297353CC}">
                <c16:uniqueId val="{00000006-C5B6-3541-B0DA-5BFD5932E857}"/>
              </c:ext>
            </c:extLst>
          </c:dPt>
          <c:cat>
            <c:strRef>
              <c:f>'4- VEHICULES UTILITAIRES'!$L$79</c:f>
              <c:strCache>
                <c:ptCount val="1"/>
                <c:pt idx="0">
                  <c:v>Nb de kms des voitures éléctriques</c:v>
                </c:pt>
              </c:strCache>
            </c:strRef>
          </c:cat>
          <c:val>
            <c:numRef>
              <c:f>'4- VEHICULES UTILITAIRES'!$L$85</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C5B6-3541-B0DA-5BFD5932E857}"/>
            </c:ext>
          </c:extLst>
        </c:ser>
        <c:ser>
          <c:idx val="2"/>
          <c:order val="2"/>
          <c:spPr>
            <a:solidFill>
              <a:srgbClr val="A5A5A5"/>
            </a:solidFill>
            <a:ln cmpd="sng">
              <a:solidFill>
                <a:srgbClr val="000000"/>
              </a:solidFill>
            </a:ln>
          </c:spPr>
          <c:invertIfNegative val="1"/>
          <c:cat>
            <c:strRef>
              <c:f>'4- VEHICULES UTILITAIRES'!$L$79</c:f>
              <c:strCache>
                <c:ptCount val="1"/>
                <c:pt idx="0">
                  <c:v>Nb de kms des voitures éléctriques</c:v>
                </c:pt>
              </c:strCache>
            </c:strRef>
          </c:cat>
          <c:val>
            <c:numRef>
              <c:f>'4- VEHICULES UTILITAIRES'!$L$88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C5B6-3541-B0DA-5BFD5932E857}"/>
            </c:ext>
          </c:extLst>
        </c:ser>
        <c:ser>
          <c:idx val="3"/>
          <c:order val="3"/>
          <c:spPr>
            <a:solidFill>
              <a:srgbClr val="FFC000"/>
            </a:solidFill>
            <a:ln cmpd="sng">
              <a:solidFill>
                <a:srgbClr val="000000"/>
              </a:solidFill>
            </a:ln>
          </c:spPr>
          <c:invertIfNegative val="1"/>
          <c:cat>
            <c:strRef>
              <c:f>'4- VEHICULES UTILITAIRES'!$L$79</c:f>
              <c:strCache>
                <c:ptCount val="1"/>
                <c:pt idx="0">
                  <c:v>Nb de kms des voitures éléctriques</c:v>
                </c:pt>
              </c:strCache>
            </c:strRef>
          </c:cat>
          <c:val>
            <c:numRef>
              <c:f>'4- VEHICULES UTILITAIRES'!$M$79</c:f>
              <c:numCache>
                <c:formatCode>General</c:formatCode>
                <c:ptCount val="1"/>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C5B6-3541-B0DA-5BFD5932E857}"/>
            </c:ext>
          </c:extLst>
        </c:ser>
        <c:ser>
          <c:idx val="4"/>
          <c:order val="4"/>
          <c:invertIfNegative val="1"/>
          <c:cat>
            <c:strRef>
              <c:f>'4- VEHICULES UTILITAIRES'!$L$79</c:f>
              <c:strCache>
                <c:ptCount val="1"/>
                <c:pt idx="0">
                  <c:v>Nb de kms des voitures éléctriques</c:v>
                </c:pt>
              </c:strCache>
            </c:strRef>
          </c:cat>
          <c:val>
            <c:numRef>
              <c:f>'4- VEHICULES UTILITAIRES'!$M$82</c:f>
              <c:numCache>
                <c:formatCode>General</c:formatCode>
                <c:ptCount val="1"/>
              </c:numCache>
            </c:numRef>
          </c:val>
          <c:extLst>
            <c:ext xmlns:c16="http://schemas.microsoft.com/office/drawing/2014/chart" uri="{C3380CC4-5D6E-409C-BE32-E72D297353CC}">
              <c16:uniqueId val="{0000000A-C5B6-3541-B0DA-5BFD5932E857}"/>
            </c:ext>
          </c:extLst>
        </c:ser>
        <c:ser>
          <c:idx val="5"/>
          <c:order val="5"/>
          <c:invertIfNegative val="1"/>
          <c:cat>
            <c:strRef>
              <c:f>'4- VEHICULES UTILITAIRES'!$L$79</c:f>
              <c:strCache>
                <c:ptCount val="1"/>
                <c:pt idx="0">
                  <c:v>Nb de kms des voitures éléctriques</c:v>
                </c:pt>
              </c:strCache>
            </c:strRef>
          </c:cat>
          <c:val>
            <c:numRef>
              <c:f>'4- VEHICULES UTILITAIRES'!$M$85</c:f>
              <c:numCache>
                <c:formatCode>General</c:formatCode>
                <c:ptCount val="1"/>
              </c:numCache>
            </c:numRef>
          </c:val>
          <c:extLst>
            <c:ext xmlns:c16="http://schemas.microsoft.com/office/drawing/2014/chart" uri="{C3380CC4-5D6E-409C-BE32-E72D297353CC}">
              <c16:uniqueId val="{0000000B-C5B6-3541-B0DA-5BFD5932E857}"/>
            </c:ext>
          </c:extLst>
        </c:ser>
        <c:ser>
          <c:idx val="6"/>
          <c:order val="6"/>
          <c:invertIfNegative val="1"/>
          <c:cat>
            <c:strRef>
              <c:f>'4- VEHICULES UTILITAIRES'!$L$79</c:f>
              <c:strCache>
                <c:ptCount val="1"/>
                <c:pt idx="0">
                  <c:v>Nb de kms des voitures éléctriques</c:v>
                </c:pt>
              </c:strCache>
            </c:strRef>
          </c:cat>
          <c:val>
            <c:numRef>
              <c:f>'4- VEHICULES UTILITAIRES'!$M$88</c:f>
              <c:numCache>
                <c:formatCode>General</c:formatCode>
                <c:ptCount val="1"/>
              </c:numCache>
            </c:numRef>
          </c:val>
          <c:extLst>
            <c:ext xmlns:c16="http://schemas.microsoft.com/office/drawing/2014/chart" uri="{C3380CC4-5D6E-409C-BE32-E72D297353CC}">
              <c16:uniqueId val="{0000000C-C5B6-3541-B0DA-5BFD5932E857}"/>
            </c:ext>
          </c:extLst>
        </c:ser>
        <c:ser>
          <c:idx val="7"/>
          <c:order val="7"/>
          <c:invertIfNegative val="1"/>
          <c:cat>
            <c:strRef>
              <c:f>'4- VEHICULES UTILITAIRES'!$L$79</c:f>
              <c:strCache>
                <c:ptCount val="1"/>
                <c:pt idx="0">
                  <c:v>Nb de kms des voitures éléctriques</c:v>
                </c:pt>
              </c:strCache>
            </c:strRef>
          </c:cat>
          <c:val>
            <c:numRef>
              <c:f>'4- VEHICULES UTILITAIRES'!$O$79</c:f>
              <c:numCache>
                <c:formatCode>0%</c:formatCode>
                <c:ptCount val="1"/>
                <c:pt idx="0">
                  <c:v>0</c:v>
                </c:pt>
              </c:numCache>
            </c:numRef>
          </c:val>
          <c:extLst>
            <c:ext xmlns:c16="http://schemas.microsoft.com/office/drawing/2014/chart" uri="{C3380CC4-5D6E-409C-BE32-E72D297353CC}">
              <c16:uniqueId val="{0000000D-C5B6-3541-B0DA-5BFD5932E857}"/>
            </c:ext>
          </c:extLst>
        </c:ser>
        <c:ser>
          <c:idx val="8"/>
          <c:order val="8"/>
          <c:invertIfNegative val="1"/>
          <c:cat>
            <c:strRef>
              <c:f>'4- VEHICULES UTILITAIRES'!$L$79</c:f>
              <c:strCache>
                <c:ptCount val="1"/>
                <c:pt idx="0">
                  <c:v>Nb de kms des voitures éléctriques</c:v>
                </c:pt>
              </c:strCache>
            </c:strRef>
          </c:cat>
          <c:val>
            <c:numRef>
              <c:f>'4- VEHICULES UTILITAIRES'!$O$82</c:f>
              <c:numCache>
                <c:formatCode>0%</c:formatCode>
                <c:ptCount val="1"/>
                <c:pt idx="0">
                  <c:v>0</c:v>
                </c:pt>
              </c:numCache>
            </c:numRef>
          </c:val>
          <c:extLst>
            <c:ext xmlns:c16="http://schemas.microsoft.com/office/drawing/2014/chart" uri="{C3380CC4-5D6E-409C-BE32-E72D297353CC}">
              <c16:uniqueId val="{0000000E-C5B6-3541-B0DA-5BFD5932E857}"/>
            </c:ext>
          </c:extLst>
        </c:ser>
        <c:ser>
          <c:idx val="9"/>
          <c:order val="9"/>
          <c:invertIfNegative val="1"/>
          <c:cat>
            <c:strRef>
              <c:f>'4- VEHICULES UTILITAIRES'!$L$79</c:f>
              <c:strCache>
                <c:ptCount val="1"/>
                <c:pt idx="0">
                  <c:v>Nb de kms des voitures éléctriques</c:v>
                </c:pt>
              </c:strCache>
            </c:strRef>
          </c:cat>
          <c:val>
            <c:numRef>
              <c:f>'4- VEHICULES UTILITAIRES'!$O$85</c:f>
              <c:numCache>
                <c:formatCode>0%</c:formatCode>
                <c:ptCount val="1"/>
                <c:pt idx="0">
                  <c:v>0</c:v>
                </c:pt>
              </c:numCache>
            </c:numRef>
          </c:val>
          <c:extLst>
            <c:ext xmlns:c16="http://schemas.microsoft.com/office/drawing/2014/chart" uri="{C3380CC4-5D6E-409C-BE32-E72D297353CC}">
              <c16:uniqueId val="{0000000F-C5B6-3541-B0DA-5BFD5932E857}"/>
            </c:ext>
          </c:extLst>
        </c:ser>
        <c:ser>
          <c:idx val="10"/>
          <c:order val="10"/>
          <c:invertIfNegative val="1"/>
          <c:cat>
            <c:strRef>
              <c:f>'4- VEHICULES UTILITAIRES'!$L$79</c:f>
              <c:strCache>
                <c:ptCount val="1"/>
                <c:pt idx="0">
                  <c:v>Nb de kms des voitures éléctriques</c:v>
                </c:pt>
              </c:strCache>
            </c:strRef>
          </c:cat>
          <c:val>
            <c:numRef>
              <c:f>'4- VEHICULES UTILITAIRES'!$O$88</c:f>
              <c:numCache>
                <c:formatCode>0%</c:formatCode>
                <c:ptCount val="1"/>
                <c:pt idx="0">
                  <c:v>1</c:v>
                </c:pt>
              </c:numCache>
            </c:numRef>
          </c:val>
          <c:extLst>
            <c:ext xmlns:c16="http://schemas.microsoft.com/office/drawing/2014/chart" uri="{C3380CC4-5D6E-409C-BE32-E72D297353CC}">
              <c16:uniqueId val="{00000010-C5B6-3541-B0DA-5BFD5932E857}"/>
            </c:ext>
          </c:extLst>
        </c:ser>
        <c:dLbls>
          <c:showLegendKey val="0"/>
          <c:showVal val="0"/>
          <c:showCatName val="0"/>
          <c:showSerName val="0"/>
          <c:showPercent val="0"/>
          <c:showBubbleSize val="0"/>
        </c:dLbls>
        <c:gapWidth val="150"/>
        <c:axId val="1436922986"/>
        <c:axId val="630395641"/>
      </c:barChart>
      <c:catAx>
        <c:axId val="143692298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fr-FR"/>
          </a:p>
        </c:txPr>
        <c:crossAx val="630395641"/>
        <c:crosses val="autoZero"/>
        <c:auto val="1"/>
        <c:lblAlgn val="ctr"/>
        <c:lblOffset val="100"/>
        <c:noMultiLvlLbl val="1"/>
      </c:catAx>
      <c:valAx>
        <c:axId val="630395641"/>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fr-FR"/>
          </a:p>
        </c:txPr>
        <c:crossAx val="1436922986"/>
        <c:crosses val="max"/>
        <c:crossBetween val="between"/>
      </c:valAx>
    </c:plotArea>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1" i="0">
                <a:solidFill>
                  <a:srgbClr val="757575"/>
                </a:solidFill>
                <a:latin typeface="+mn-lt"/>
              </a:defRPr>
            </a:pPr>
            <a:r>
              <a:rPr lang="fr-FR" sz="1400" b="1" i="0">
                <a:solidFill>
                  <a:srgbClr val="757575"/>
                </a:solidFill>
                <a:latin typeface="+mn-lt"/>
              </a:rPr>
              <a:t>En nombre de véhicules</a:t>
            </a:r>
          </a:p>
        </c:rich>
      </c:tx>
      <c:overlay val="0"/>
    </c:title>
    <c:autoTitleDeleted val="0"/>
    <c:plotArea>
      <c:layout/>
      <c:barChart>
        <c:barDir val="bar"/>
        <c:grouping val="clustered"/>
        <c:varyColors val="1"/>
        <c:ser>
          <c:idx val="0"/>
          <c:order val="0"/>
          <c:spPr>
            <a:solidFill>
              <a:srgbClr val="4472C4"/>
            </a:solidFill>
            <a:ln cmpd="sng">
              <a:solidFill>
                <a:srgbClr val="000000"/>
              </a:solidFill>
            </a:ln>
          </c:spPr>
          <c:invertIfNegative val="1"/>
          <c:cat>
            <c:strRef>
              <c:f>'4- VEHICULES UTILITAIRES'!$L$95</c:f>
              <c:strCache>
                <c:ptCount val="1"/>
                <c:pt idx="0">
                  <c:v>Voitures éléctriques louées</c:v>
                </c:pt>
              </c:strCache>
            </c:strRef>
          </c:cat>
          <c:val>
            <c:numRef>
              <c:f>'4- VEHICULES UTILITAIRES'!$L$98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AA-2642-8F5D-051605139A07}"/>
            </c:ext>
          </c:extLst>
        </c:ser>
        <c:ser>
          <c:idx val="1"/>
          <c:order val="1"/>
          <c:spPr>
            <a:solidFill>
              <a:srgbClr val="ED7D31"/>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2-0CAA-2642-8F5D-051605139A07}"/>
              </c:ext>
            </c:extLst>
          </c:dPt>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4-0CAA-2642-8F5D-051605139A07}"/>
              </c:ext>
            </c:extLst>
          </c:dPt>
          <c:dPt>
            <c:idx val="3"/>
            <c:invertIfNegative val="1"/>
            <c:bubble3D val="0"/>
            <c:spPr>
              <a:solidFill>
                <a:srgbClr val="C00000"/>
              </a:solidFill>
              <a:ln cmpd="sng">
                <a:solidFill>
                  <a:srgbClr val="000000"/>
                </a:solidFill>
              </a:ln>
            </c:spPr>
            <c:extLst>
              <c:ext xmlns:c16="http://schemas.microsoft.com/office/drawing/2014/chart" uri="{C3380CC4-5D6E-409C-BE32-E72D297353CC}">
                <c16:uniqueId val="{00000006-0CAA-2642-8F5D-051605139A07}"/>
              </c:ext>
            </c:extLst>
          </c:dPt>
          <c:dPt>
            <c:idx val="4"/>
            <c:invertIfNegative val="1"/>
            <c:bubble3D val="0"/>
            <c:spPr>
              <a:solidFill>
                <a:schemeClr val="accent6"/>
              </a:solidFill>
              <a:ln cmpd="sng">
                <a:solidFill>
                  <a:srgbClr val="000000"/>
                </a:solidFill>
              </a:ln>
            </c:spPr>
            <c:extLst>
              <c:ext xmlns:c16="http://schemas.microsoft.com/office/drawing/2014/chart" uri="{C3380CC4-5D6E-409C-BE32-E72D297353CC}">
                <c16:uniqueId val="{00000008-0CAA-2642-8F5D-051605139A07}"/>
              </c:ext>
            </c:extLst>
          </c:dPt>
          <c:dPt>
            <c:idx val="5"/>
            <c:invertIfNegative val="1"/>
            <c:bubble3D val="0"/>
            <c:spPr>
              <a:solidFill>
                <a:srgbClr val="FF4940"/>
              </a:solidFill>
              <a:ln cmpd="sng">
                <a:solidFill>
                  <a:srgbClr val="000000"/>
                </a:solidFill>
              </a:ln>
            </c:spPr>
            <c:extLst>
              <c:ext xmlns:c16="http://schemas.microsoft.com/office/drawing/2014/chart" uri="{C3380CC4-5D6E-409C-BE32-E72D297353CC}">
                <c16:uniqueId val="{0000000A-0CAA-2642-8F5D-051605139A07}"/>
              </c:ext>
            </c:extLst>
          </c:dPt>
          <c:dPt>
            <c:idx val="6"/>
            <c:invertIfNegative val="1"/>
            <c:bubble3D val="0"/>
            <c:spPr>
              <a:solidFill>
                <a:srgbClr val="002060"/>
              </a:solidFill>
              <a:ln cmpd="sng">
                <a:solidFill>
                  <a:srgbClr val="000000"/>
                </a:solidFill>
              </a:ln>
            </c:spPr>
            <c:extLst>
              <c:ext xmlns:c16="http://schemas.microsoft.com/office/drawing/2014/chart" uri="{C3380CC4-5D6E-409C-BE32-E72D297353CC}">
                <c16:uniqueId val="{0000000C-0CAA-2642-8F5D-051605139A07}"/>
              </c:ext>
            </c:extLst>
          </c:dPt>
          <c:cat>
            <c:strRef>
              <c:f>'4- VEHICULES UTILITAIRES'!$L$95</c:f>
              <c:strCache>
                <c:ptCount val="1"/>
                <c:pt idx="0">
                  <c:v>Voitures éléctriques louées</c:v>
                </c:pt>
              </c:strCache>
            </c:strRef>
          </c:cat>
          <c:val>
            <c:numRef>
              <c:f>'4- VEHICULES UTILITAIRES'!$L$101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0CAA-2642-8F5D-051605139A07}"/>
            </c:ext>
          </c:extLst>
        </c:ser>
        <c:ser>
          <c:idx val="2"/>
          <c:order val="2"/>
          <c:spPr>
            <a:solidFill>
              <a:srgbClr val="A5A5A5"/>
            </a:solidFill>
            <a:ln cmpd="sng">
              <a:solidFill>
                <a:srgbClr val="000000"/>
              </a:solidFill>
            </a:ln>
          </c:spPr>
          <c:invertIfNegative val="1"/>
          <c:cat>
            <c:strRef>
              <c:f>'4- VEHICULES UTILITAIRES'!$L$95</c:f>
              <c:strCache>
                <c:ptCount val="1"/>
                <c:pt idx="0">
                  <c:v>Voitures éléctriques louées</c:v>
                </c:pt>
              </c:strCache>
            </c:strRef>
          </c:cat>
          <c:val>
            <c:numRef>
              <c:f>'4- VEHICULES UTILITAIRES'!$L$104</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0CAA-2642-8F5D-051605139A07}"/>
            </c:ext>
          </c:extLst>
        </c:ser>
        <c:ser>
          <c:idx val="3"/>
          <c:order val="3"/>
          <c:spPr>
            <a:solidFill>
              <a:srgbClr val="FFC000"/>
            </a:solidFill>
            <a:ln cmpd="sng">
              <a:solidFill>
                <a:srgbClr val="000000"/>
              </a:solidFill>
            </a:ln>
          </c:spPr>
          <c:invertIfNegative val="1"/>
          <c:cat>
            <c:strRef>
              <c:f>'4- VEHICULES UTILITAIRES'!$L$95</c:f>
              <c:strCache>
                <c:ptCount val="1"/>
                <c:pt idx="0">
                  <c:v>Voitures éléctriques louées</c:v>
                </c:pt>
              </c:strCache>
            </c:strRef>
          </c:cat>
          <c:val>
            <c:numRef>
              <c:f>'4- VEHICULES UTILITAIRES'!$L$108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0CAA-2642-8F5D-051605139A07}"/>
            </c:ext>
          </c:extLst>
        </c:ser>
        <c:ser>
          <c:idx val="4"/>
          <c:order val="4"/>
          <c:spPr>
            <a:solidFill>
              <a:srgbClr val="5B9BD5"/>
            </a:solidFill>
            <a:ln cmpd="sng">
              <a:solidFill>
                <a:srgbClr val="000000"/>
              </a:solidFill>
            </a:ln>
          </c:spPr>
          <c:invertIfNegative val="1"/>
          <c:cat>
            <c:strRef>
              <c:f>'4- VEHICULES UTILITAIRES'!$L$95</c:f>
              <c:strCache>
                <c:ptCount val="1"/>
                <c:pt idx="0">
                  <c:v>Voitures éléctriques louées</c:v>
                </c:pt>
              </c:strCache>
            </c:strRef>
          </c:cat>
          <c:val>
            <c:numRef>
              <c:f>'4- VEHICULES UTILITAIRES'!$L$111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0CAA-2642-8F5D-051605139A07}"/>
            </c:ext>
          </c:extLst>
        </c:ser>
        <c:ser>
          <c:idx val="5"/>
          <c:order val="5"/>
          <c:spPr>
            <a:solidFill>
              <a:srgbClr val="70AD47"/>
            </a:solidFill>
            <a:ln cmpd="sng">
              <a:solidFill>
                <a:srgbClr val="000000"/>
              </a:solidFill>
            </a:ln>
          </c:spPr>
          <c:invertIfNegative val="1"/>
          <c:cat>
            <c:strRef>
              <c:f>'4- VEHICULES UTILITAIRES'!$L$95</c:f>
              <c:strCache>
                <c:ptCount val="1"/>
                <c:pt idx="0">
                  <c:v>Voitures éléctriques louées</c:v>
                </c:pt>
              </c:strCache>
            </c:strRef>
          </c:cat>
          <c:val>
            <c:numRef>
              <c:f>'4- VEHICULES UTILITAIRES'!$L$114</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1-0CAA-2642-8F5D-051605139A07}"/>
            </c:ext>
          </c:extLst>
        </c:ser>
        <c:ser>
          <c:idx val="6"/>
          <c:order val="6"/>
          <c:spPr>
            <a:solidFill>
              <a:srgbClr val="B8CAE9"/>
            </a:solidFill>
            <a:ln cmpd="sng">
              <a:solidFill>
                <a:srgbClr val="000000"/>
              </a:solidFill>
            </a:ln>
          </c:spPr>
          <c:invertIfNegative val="1"/>
          <c:cat>
            <c:strRef>
              <c:f>'4- VEHICULES UTILITAIRES'!$L$95</c:f>
              <c:strCache>
                <c:ptCount val="1"/>
                <c:pt idx="0">
                  <c:v>Voitures éléctriques louées</c:v>
                </c:pt>
              </c:strCache>
            </c:strRef>
          </c:cat>
          <c:val>
            <c:numRef>
              <c:f>'4- VEHICULES UTILITAIRES'!$M$95</c:f>
              <c:numCache>
                <c:formatCode>General</c:formatCode>
                <c:ptCount val="1"/>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2-0CAA-2642-8F5D-051605139A07}"/>
            </c:ext>
          </c:extLst>
        </c:ser>
        <c:ser>
          <c:idx val="7"/>
          <c:order val="7"/>
          <c:invertIfNegative val="1"/>
          <c:cat>
            <c:strRef>
              <c:f>'4- VEHICULES UTILITAIRES'!$L$95</c:f>
              <c:strCache>
                <c:ptCount val="1"/>
                <c:pt idx="0">
                  <c:v>Voitures éléctriques louées</c:v>
                </c:pt>
              </c:strCache>
            </c:strRef>
          </c:cat>
          <c:val>
            <c:numRef>
              <c:f>'4- VEHICULES UTILITAIRES'!$M$98</c:f>
              <c:numCache>
                <c:formatCode>General</c:formatCode>
                <c:ptCount val="1"/>
              </c:numCache>
            </c:numRef>
          </c:val>
          <c:extLst>
            <c:ext xmlns:c16="http://schemas.microsoft.com/office/drawing/2014/chart" uri="{C3380CC4-5D6E-409C-BE32-E72D297353CC}">
              <c16:uniqueId val="{00000013-0CAA-2642-8F5D-051605139A07}"/>
            </c:ext>
          </c:extLst>
        </c:ser>
        <c:ser>
          <c:idx val="8"/>
          <c:order val="8"/>
          <c:invertIfNegative val="1"/>
          <c:cat>
            <c:strRef>
              <c:f>'4- VEHICULES UTILITAIRES'!$L$95</c:f>
              <c:strCache>
                <c:ptCount val="1"/>
                <c:pt idx="0">
                  <c:v>Voitures éléctriques louées</c:v>
                </c:pt>
              </c:strCache>
            </c:strRef>
          </c:cat>
          <c:val>
            <c:numRef>
              <c:f>'4- VEHICULES UTILITAIRES'!$M$101</c:f>
              <c:numCache>
                <c:formatCode>General</c:formatCode>
                <c:ptCount val="1"/>
              </c:numCache>
            </c:numRef>
          </c:val>
          <c:extLst>
            <c:ext xmlns:c16="http://schemas.microsoft.com/office/drawing/2014/chart" uri="{C3380CC4-5D6E-409C-BE32-E72D297353CC}">
              <c16:uniqueId val="{00000014-0CAA-2642-8F5D-051605139A07}"/>
            </c:ext>
          </c:extLst>
        </c:ser>
        <c:ser>
          <c:idx val="9"/>
          <c:order val="9"/>
          <c:invertIfNegative val="1"/>
          <c:cat>
            <c:strRef>
              <c:f>'4- VEHICULES UTILITAIRES'!$L$95</c:f>
              <c:strCache>
                <c:ptCount val="1"/>
                <c:pt idx="0">
                  <c:v>Voitures éléctriques louées</c:v>
                </c:pt>
              </c:strCache>
            </c:strRef>
          </c:cat>
          <c:val>
            <c:numRef>
              <c:f>'4- VEHICULES UTILITAIRES'!$M$104</c:f>
              <c:numCache>
                <c:formatCode>General</c:formatCode>
                <c:ptCount val="1"/>
              </c:numCache>
            </c:numRef>
          </c:val>
          <c:extLst>
            <c:ext xmlns:c16="http://schemas.microsoft.com/office/drawing/2014/chart" uri="{C3380CC4-5D6E-409C-BE32-E72D297353CC}">
              <c16:uniqueId val="{00000015-0CAA-2642-8F5D-051605139A07}"/>
            </c:ext>
          </c:extLst>
        </c:ser>
        <c:ser>
          <c:idx val="10"/>
          <c:order val="10"/>
          <c:invertIfNegative val="1"/>
          <c:cat>
            <c:strRef>
              <c:f>'4- VEHICULES UTILITAIRES'!$L$95</c:f>
              <c:strCache>
                <c:ptCount val="1"/>
                <c:pt idx="0">
                  <c:v>Voitures éléctriques louées</c:v>
                </c:pt>
              </c:strCache>
            </c:strRef>
          </c:cat>
          <c:val>
            <c:numRef>
              <c:f>'4- VEHICULES UTILITAIRES'!$M$108</c:f>
              <c:numCache>
                <c:formatCode>General</c:formatCode>
                <c:ptCount val="1"/>
              </c:numCache>
            </c:numRef>
          </c:val>
          <c:extLst>
            <c:ext xmlns:c16="http://schemas.microsoft.com/office/drawing/2014/chart" uri="{C3380CC4-5D6E-409C-BE32-E72D297353CC}">
              <c16:uniqueId val="{00000016-0CAA-2642-8F5D-051605139A07}"/>
            </c:ext>
          </c:extLst>
        </c:ser>
        <c:ser>
          <c:idx val="11"/>
          <c:order val="11"/>
          <c:invertIfNegative val="1"/>
          <c:cat>
            <c:strRef>
              <c:f>'4- VEHICULES UTILITAIRES'!$L$95</c:f>
              <c:strCache>
                <c:ptCount val="1"/>
                <c:pt idx="0">
                  <c:v>Voitures éléctriques louées</c:v>
                </c:pt>
              </c:strCache>
            </c:strRef>
          </c:cat>
          <c:val>
            <c:numRef>
              <c:f>'4- VEHICULES UTILITAIRES'!$M$111</c:f>
              <c:numCache>
                <c:formatCode>General</c:formatCode>
                <c:ptCount val="1"/>
              </c:numCache>
            </c:numRef>
          </c:val>
          <c:extLst>
            <c:ext xmlns:c16="http://schemas.microsoft.com/office/drawing/2014/chart" uri="{C3380CC4-5D6E-409C-BE32-E72D297353CC}">
              <c16:uniqueId val="{00000017-0CAA-2642-8F5D-051605139A07}"/>
            </c:ext>
          </c:extLst>
        </c:ser>
        <c:ser>
          <c:idx val="12"/>
          <c:order val="12"/>
          <c:invertIfNegative val="1"/>
          <c:cat>
            <c:strRef>
              <c:f>'4- VEHICULES UTILITAIRES'!$L$95</c:f>
              <c:strCache>
                <c:ptCount val="1"/>
                <c:pt idx="0">
                  <c:v>Voitures éléctriques louées</c:v>
                </c:pt>
              </c:strCache>
            </c:strRef>
          </c:cat>
          <c:val>
            <c:numRef>
              <c:f>'4- VEHICULES UTILITAIRES'!$M$114</c:f>
              <c:numCache>
                <c:formatCode>General</c:formatCode>
                <c:ptCount val="1"/>
              </c:numCache>
            </c:numRef>
          </c:val>
          <c:extLst>
            <c:ext xmlns:c16="http://schemas.microsoft.com/office/drawing/2014/chart" uri="{C3380CC4-5D6E-409C-BE32-E72D297353CC}">
              <c16:uniqueId val="{00000018-0CAA-2642-8F5D-051605139A07}"/>
            </c:ext>
          </c:extLst>
        </c:ser>
        <c:ser>
          <c:idx val="13"/>
          <c:order val="13"/>
          <c:invertIfNegative val="1"/>
          <c:cat>
            <c:strRef>
              <c:f>'4- VEHICULES UTILITAIRES'!$L$95</c:f>
              <c:strCache>
                <c:ptCount val="1"/>
                <c:pt idx="0">
                  <c:v>Voitures éléctriques louées</c:v>
                </c:pt>
              </c:strCache>
            </c:strRef>
          </c:cat>
          <c:val>
            <c:numRef>
              <c:f>'4- VEHICULES UTILITAIRES'!$O$95</c:f>
              <c:numCache>
                <c:formatCode>0%</c:formatCode>
                <c:ptCount val="1"/>
                <c:pt idx="0">
                  <c:v>0</c:v>
                </c:pt>
              </c:numCache>
            </c:numRef>
          </c:val>
          <c:extLst>
            <c:ext xmlns:c16="http://schemas.microsoft.com/office/drawing/2014/chart" uri="{C3380CC4-5D6E-409C-BE32-E72D297353CC}">
              <c16:uniqueId val="{00000019-0CAA-2642-8F5D-051605139A07}"/>
            </c:ext>
          </c:extLst>
        </c:ser>
        <c:ser>
          <c:idx val="14"/>
          <c:order val="14"/>
          <c:invertIfNegative val="1"/>
          <c:cat>
            <c:strRef>
              <c:f>'4- VEHICULES UTILITAIRES'!$L$95</c:f>
              <c:strCache>
                <c:ptCount val="1"/>
                <c:pt idx="0">
                  <c:v>Voitures éléctriques louées</c:v>
                </c:pt>
              </c:strCache>
            </c:strRef>
          </c:cat>
          <c:val>
            <c:numRef>
              <c:f>'4- VEHICULES UTILITAIRES'!$O$98</c:f>
              <c:numCache>
                <c:formatCode>0%</c:formatCode>
                <c:ptCount val="1"/>
                <c:pt idx="0">
                  <c:v>0</c:v>
                </c:pt>
              </c:numCache>
            </c:numRef>
          </c:val>
          <c:extLst>
            <c:ext xmlns:c16="http://schemas.microsoft.com/office/drawing/2014/chart" uri="{C3380CC4-5D6E-409C-BE32-E72D297353CC}">
              <c16:uniqueId val="{0000001A-0CAA-2642-8F5D-051605139A07}"/>
            </c:ext>
          </c:extLst>
        </c:ser>
        <c:ser>
          <c:idx val="15"/>
          <c:order val="15"/>
          <c:invertIfNegative val="1"/>
          <c:cat>
            <c:strRef>
              <c:f>'4- VEHICULES UTILITAIRES'!$L$95</c:f>
              <c:strCache>
                <c:ptCount val="1"/>
                <c:pt idx="0">
                  <c:v>Voitures éléctriques louées</c:v>
                </c:pt>
              </c:strCache>
            </c:strRef>
          </c:cat>
          <c:val>
            <c:numRef>
              <c:f>'4- VEHICULES UTILITAIRES'!$O$101</c:f>
              <c:numCache>
                <c:formatCode>0%</c:formatCode>
                <c:ptCount val="1"/>
                <c:pt idx="0">
                  <c:v>0</c:v>
                </c:pt>
              </c:numCache>
            </c:numRef>
          </c:val>
          <c:extLst>
            <c:ext xmlns:c16="http://schemas.microsoft.com/office/drawing/2014/chart" uri="{C3380CC4-5D6E-409C-BE32-E72D297353CC}">
              <c16:uniqueId val="{0000001B-0CAA-2642-8F5D-051605139A07}"/>
            </c:ext>
          </c:extLst>
        </c:ser>
        <c:ser>
          <c:idx val="16"/>
          <c:order val="16"/>
          <c:invertIfNegative val="1"/>
          <c:cat>
            <c:strRef>
              <c:f>'4- VEHICULES UTILITAIRES'!$L$95</c:f>
              <c:strCache>
                <c:ptCount val="1"/>
                <c:pt idx="0">
                  <c:v>Voitures éléctriques louées</c:v>
                </c:pt>
              </c:strCache>
            </c:strRef>
          </c:cat>
          <c:val>
            <c:numRef>
              <c:f>'4- VEHICULES UTILITAIRES'!$O$104</c:f>
              <c:numCache>
                <c:formatCode>0%</c:formatCode>
                <c:ptCount val="1"/>
                <c:pt idx="0">
                  <c:v>0.5</c:v>
                </c:pt>
              </c:numCache>
            </c:numRef>
          </c:val>
          <c:extLst>
            <c:ext xmlns:c16="http://schemas.microsoft.com/office/drawing/2014/chart" uri="{C3380CC4-5D6E-409C-BE32-E72D297353CC}">
              <c16:uniqueId val="{0000001C-0CAA-2642-8F5D-051605139A07}"/>
            </c:ext>
          </c:extLst>
        </c:ser>
        <c:ser>
          <c:idx val="17"/>
          <c:order val="17"/>
          <c:invertIfNegative val="1"/>
          <c:cat>
            <c:strRef>
              <c:f>'4- VEHICULES UTILITAIRES'!$L$95</c:f>
              <c:strCache>
                <c:ptCount val="1"/>
                <c:pt idx="0">
                  <c:v>Voitures éléctriques louées</c:v>
                </c:pt>
              </c:strCache>
            </c:strRef>
          </c:cat>
          <c:val>
            <c:numRef>
              <c:f>'4- VEHICULES UTILITAIRES'!$O$108</c:f>
              <c:numCache>
                <c:formatCode>0%</c:formatCode>
                <c:ptCount val="1"/>
                <c:pt idx="0">
                  <c:v>0.5</c:v>
                </c:pt>
              </c:numCache>
            </c:numRef>
          </c:val>
          <c:extLst>
            <c:ext xmlns:c16="http://schemas.microsoft.com/office/drawing/2014/chart" uri="{C3380CC4-5D6E-409C-BE32-E72D297353CC}">
              <c16:uniqueId val="{0000001D-0CAA-2642-8F5D-051605139A07}"/>
            </c:ext>
          </c:extLst>
        </c:ser>
        <c:ser>
          <c:idx val="18"/>
          <c:order val="18"/>
          <c:invertIfNegative val="1"/>
          <c:cat>
            <c:strRef>
              <c:f>'4- VEHICULES UTILITAIRES'!$L$95</c:f>
              <c:strCache>
                <c:ptCount val="1"/>
                <c:pt idx="0">
                  <c:v>Voitures éléctriques louées</c:v>
                </c:pt>
              </c:strCache>
            </c:strRef>
          </c:cat>
          <c:val>
            <c:numRef>
              <c:f>'4- VEHICULES UTILITAIRES'!$O$111</c:f>
              <c:numCache>
                <c:formatCode>0%</c:formatCode>
                <c:ptCount val="1"/>
                <c:pt idx="0">
                  <c:v>0</c:v>
                </c:pt>
              </c:numCache>
            </c:numRef>
          </c:val>
          <c:extLst>
            <c:ext xmlns:c16="http://schemas.microsoft.com/office/drawing/2014/chart" uri="{C3380CC4-5D6E-409C-BE32-E72D297353CC}">
              <c16:uniqueId val="{0000001E-0CAA-2642-8F5D-051605139A07}"/>
            </c:ext>
          </c:extLst>
        </c:ser>
        <c:ser>
          <c:idx val="19"/>
          <c:order val="19"/>
          <c:invertIfNegative val="1"/>
          <c:cat>
            <c:strRef>
              <c:f>'4- VEHICULES UTILITAIRES'!$L$95</c:f>
              <c:strCache>
                <c:ptCount val="1"/>
                <c:pt idx="0">
                  <c:v>Voitures éléctriques louées</c:v>
                </c:pt>
              </c:strCache>
            </c:strRef>
          </c:cat>
          <c:val>
            <c:numRef>
              <c:f>'4- VEHICULES UTILITAIRES'!$O$114</c:f>
              <c:numCache>
                <c:formatCode>0%</c:formatCode>
                <c:ptCount val="1"/>
                <c:pt idx="0">
                  <c:v>0</c:v>
                </c:pt>
              </c:numCache>
            </c:numRef>
          </c:val>
          <c:extLst>
            <c:ext xmlns:c16="http://schemas.microsoft.com/office/drawing/2014/chart" uri="{C3380CC4-5D6E-409C-BE32-E72D297353CC}">
              <c16:uniqueId val="{0000001F-0CAA-2642-8F5D-051605139A07}"/>
            </c:ext>
          </c:extLst>
        </c:ser>
        <c:dLbls>
          <c:showLegendKey val="0"/>
          <c:showVal val="0"/>
          <c:showCatName val="0"/>
          <c:showSerName val="0"/>
          <c:showPercent val="0"/>
          <c:showBubbleSize val="0"/>
        </c:dLbls>
        <c:gapWidth val="150"/>
        <c:axId val="1509901405"/>
        <c:axId val="756878648"/>
      </c:barChart>
      <c:catAx>
        <c:axId val="1509901405"/>
        <c:scaling>
          <c:orientation val="maxMin"/>
        </c:scaling>
        <c:delete val="0"/>
        <c:axPos val="l"/>
        <c:title>
          <c:tx>
            <c:rich>
              <a:bodyPr/>
              <a:lstStyle/>
              <a:p>
                <a:pPr lvl="0">
                  <a:defRPr b="0">
                    <a:solidFill>
                      <a:srgbClr val="000000"/>
                    </a:solidFill>
                    <a:latin typeface="+mn-lt"/>
                  </a:defRPr>
                </a:pPr>
                <a:endParaRPr lang="fr-FR"/>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fr-FR"/>
          </a:p>
        </c:txPr>
        <c:crossAx val="756878648"/>
        <c:crosses val="autoZero"/>
        <c:auto val="1"/>
        <c:lblAlgn val="ctr"/>
        <c:lblOffset val="100"/>
        <c:noMultiLvlLbl val="1"/>
      </c:catAx>
      <c:valAx>
        <c:axId val="75687864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fr-FR"/>
          </a:p>
        </c:txPr>
        <c:crossAx val="1509901405"/>
        <c:crosses val="max"/>
        <c:crossBetween val="between"/>
      </c:valAx>
    </c:plotArea>
    <c:legend>
      <c:legendPos val="b"/>
      <c:overlay val="0"/>
      <c:txPr>
        <a:bodyPr/>
        <a:lstStyle/>
        <a:p>
          <a:pPr lvl="0">
            <a:defRPr sz="900" b="0" i="0">
              <a:solidFill>
                <a:srgbClr val="1A1A1A"/>
              </a:solidFill>
              <a:latin typeface="+mn-lt"/>
            </a:defRPr>
          </a:pPr>
          <a:endParaRPr lang="fr-FR"/>
        </a:p>
      </c:txPr>
    </c:legend>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1" i="0">
                <a:solidFill>
                  <a:srgbClr val="757575"/>
                </a:solidFill>
                <a:latin typeface="+mn-lt"/>
              </a:defRPr>
            </a:pPr>
            <a:r>
              <a:rPr lang="fr-FR" sz="1400" b="1" i="0">
                <a:solidFill>
                  <a:srgbClr val="757575"/>
                </a:solidFill>
                <a:latin typeface="+mn-lt"/>
              </a:rPr>
              <a:t>En nombre de kms</a:t>
            </a:r>
          </a:p>
        </c:rich>
      </c:tx>
      <c:overlay val="0"/>
    </c:title>
    <c:autoTitleDeleted val="0"/>
    <c:plotArea>
      <c:layout/>
      <c:barChart>
        <c:barDir val="bar"/>
        <c:grouping val="clustered"/>
        <c:varyColors val="1"/>
        <c:ser>
          <c:idx val="0"/>
          <c:order val="0"/>
          <c:spPr>
            <a:solidFill>
              <a:srgbClr val="4472C4"/>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UTILITAIRES'!$L$99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18-B24D-B71E-2762CC221109}"/>
            </c:ext>
          </c:extLst>
        </c:ser>
        <c:ser>
          <c:idx val="1"/>
          <c:order val="1"/>
          <c:spPr>
            <a:solidFill>
              <a:srgbClr val="ED7D31"/>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2-D718-B24D-B71E-2762CC221109}"/>
              </c:ext>
            </c:extLst>
          </c:dPt>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4-D718-B24D-B71E-2762CC221109}"/>
              </c:ext>
            </c:extLst>
          </c:dPt>
          <c:dPt>
            <c:idx val="3"/>
            <c:invertIfNegative val="1"/>
            <c:bubble3D val="0"/>
            <c:spPr>
              <a:solidFill>
                <a:srgbClr val="C00000"/>
              </a:solidFill>
              <a:ln cmpd="sng">
                <a:solidFill>
                  <a:srgbClr val="000000"/>
                </a:solidFill>
              </a:ln>
            </c:spPr>
            <c:extLst>
              <c:ext xmlns:c16="http://schemas.microsoft.com/office/drawing/2014/chart" uri="{C3380CC4-5D6E-409C-BE32-E72D297353CC}">
                <c16:uniqueId val="{00000006-D718-B24D-B71E-2762CC221109}"/>
              </c:ext>
            </c:extLst>
          </c:dPt>
          <c:dPt>
            <c:idx val="5"/>
            <c:invertIfNegative val="1"/>
            <c:bubble3D val="0"/>
            <c:spPr>
              <a:solidFill>
                <a:srgbClr val="FF4940"/>
              </a:solidFill>
              <a:ln cmpd="sng">
                <a:solidFill>
                  <a:srgbClr val="000000"/>
                </a:solidFill>
              </a:ln>
            </c:spPr>
            <c:extLst>
              <c:ext xmlns:c16="http://schemas.microsoft.com/office/drawing/2014/chart" uri="{C3380CC4-5D6E-409C-BE32-E72D297353CC}">
                <c16:uniqueId val="{00000008-D718-B24D-B71E-2762CC221109}"/>
              </c:ext>
            </c:extLst>
          </c:dPt>
          <c:dPt>
            <c:idx val="6"/>
            <c:invertIfNegative val="1"/>
            <c:bubble3D val="0"/>
            <c:spPr>
              <a:solidFill>
                <a:srgbClr val="002060"/>
              </a:solidFill>
              <a:ln cmpd="sng">
                <a:solidFill>
                  <a:srgbClr val="000000"/>
                </a:solidFill>
              </a:ln>
            </c:spPr>
            <c:extLst>
              <c:ext xmlns:c16="http://schemas.microsoft.com/office/drawing/2014/chart" uri="{C3380CC4-5D6E-409C-BE32-E72D297353CC}">
                <c16:uniqueId val="{0000000A-D718-B24D-B71E-2762CC221109}"/>
              </c:ext>
            </c:extLst>
          </c:dPt>
          <c:cat>
            <c:strRef>
              <c:f>'4- VEHICULES UTILITAIRES'!$L$96</c:f>
              <c:strCache>
                <c:ptCount val="1"/>
                <c:pt idx="0">
                  <c:v>Nb de kms des voitures éléctriques</c:v>
                </c:pt>
              </c:strCache>
            </c:strRef>
          </c:cat>
          <c:val>
            <c:numRef>
              <c:f>'4- VEHICULES UTILITAIRES'!$L$102</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D718-B24D-B71E-2762CC221109}"/>
            </c:ext>
          </c:extLst>
        </c:ser>
        <c:ser>
          <c:idx val="2"/>
          <c:order val="2"/>
          <c:spPr>
            <a:solidFill>
              <a:srgbClr val="A5A5A5"/>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UTILITAIRES'!$L$105</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D718-B24D-B71E-2762CC221109}"/>
            </c:ext>
          </c:extLst>
        </c:ser>
        <c:ser>
          <c:idx val="3"/>
          <c:order val="3"/>
          <c:spPr>
            <a:solidFill>
              <a:srgbClr val="FFC000"/>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UTILITAIRES'!$L$109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D718-B24D-B71E-2762CC221109}"/>
            </c:ext>
          </c:extLst>
        </c:ser>
        <c:ser>
          <c:idx val="4"/>
          <c:order val="4"/>
          <c:spPr>
            <a:solidFill>
              <a:srgbClr val="5B9BD5"/>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UTILITAIRES'!$L$112</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D718-B24D-B71E-2762CC221109}"/>
            </c:ext>
          </c:extLst>
        </c:ser>
        <c:ser>
          <c:idx val="5"/>
          <c:order val="5"/>
          <c:spPr>
            <a:solidFill>
              <a:srgbClr val="70AD47"/>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UTILITAIRES'!$L$115</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D718-B24D-B71E-2762CC221109}"/>
            </c:ext>
          </c:extLst>
        </c:ser>
        <c:ser>
          <c:idx val="6"/>
          <c:order val="6"/>
          <c:spPr>
            <a:solidFill>
              <a:srgbClr val="B8CAE9"/>
            </a:solidFill>
            <a:ln cmpd="sng">
              <a:solidFill>
                <a:srgbClr val="000000"/>
              </a:solidFill>
            </a:ln>
          </c:spPr>
          <c:invertIfNegative val="1"/>
          <c:cat>
            <c:strRef>
              <c:f>'4- VEHICULES UTILITAIRES'!$L$96</c:f>
              <c:strCache>
                <c:ptCount val="1"/>
                <c:pt idx="0">
                  <c:v>Nb de kms des voitures éléctriques</c:v>
                </c:pt>
              </c:strCache>
            </c:strRef>
          </c:cat>
          <c:val>
            <c:numRef>
              <c:f>'4- VEHICULES UTILITAIRES'!$M$96</c:f>
              <c:numCache>
                <c:formatCode>General</c:formatCode>
                <c:ptCount val="1"/>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D718-B24D-B71E-2762CC221109}"/>
            </c:ext>
          </c:extLst>
        </c:ser>
        <c:ser>
          <c:idx val="7"/>
          <c:order val="7"/>
          <c:invertIfNegative val="1"/>
          <c:cat>
            <c:strRef>
              <c:f>'4- VEHICULES UTILITAIRES'!$L$96</c:f>
              <c:strCache>
                <c:ptCount val="1"/>
                <c:pt idx="0">
                  <c:v>Nb de kms des voitures éléctriques</c:v>
                </c:pt>
              </c:strCache>
            </c:strRef>
          </c:cat>
          <c:val>
            <c:numRef>
              <c:f>'4- VEHICULES UTILITAIRES'!$M$99</c:f>
              <c:numCache>
                <c:formatCode>General</c:formatCode>
                <c:ptCount val="1"/>
              </c:numCache>
            </c:numRef>
          </c:val>
          <c:extLst>
            <c:ext xmlns:c16="http://schemas.microsoft.com/office/drawing/2014/chart" uri="{C3380CC4-5D6E-409C-BE32-E72D297353CC}">
              <c16:uniqueId val="{00000011-D718-B24D-B71E-2762CC221109}"/>
            </c:ext>
          </c:extLst>
        </c:ser>
        <c:ser>
          <c:idx val="8"/>
          <c:order val="8"/>
          <c:invertIfNegative val="1"/>
          <c:cat>
            <c:strRef>
              <c:f>'4- VEHICULES UTILITAIRES'!$L$96</c:f>
              <c:strCache>
                <c:ptCount val="1"/>
                <c:pt idx="0">
                  <c:v>Nb de kms des voitures éléctriques</c:v>
                </c:pt>
              </c:strCache>
            </c:strRef>
          </c:cat>
          <c:val>
            <c:numRef>
              <c:f>'4- VEHICULES UTILITAIRES'!$M$102</c:f>
              <c:numCache>
                <c:formatCode>General</c:formatCode>
                <c:ptCount val="1"/>
              </c:numCache>
            </c:numRef>
          </c:val>
          <c:extLst>
            <c:ext xmlns:c16="http://schemas.microsoft.com/office/drawing/2014/chart" uri="{C3380CC4-5D6E-409C-BE32-E72D297353CC}">
              <c16:uniqueId val="{00000012-D718-B24D-B71E-2762CC221109}"/>
            </c:ext>
          </c:extLst>
        </c:ser>
        <c:ser>
          <c:idx val="9"/>
          <c:order val="9"/>
          <c:invertIfNegative val="1"/>
          <c:cat>
            <c:strRef>
              <c:f>'4- VEHICULES UTILITAIRES'!$L$96</c:f>
              <c:strCache>
                <c:ptCount val="1"/>
                <c:pt idx="0">
                  <c:v>Nb de kms des voitures éléctriques</c:v>
                </c:pt>
              </c:strCache>
            </c:strRef>
          </c:cat>
          <c:val>
            <c:numRef>
              <c:f>'4- VEHICULES UTILITAIRES'!$M$105</c:f>
              <c:numCache>
                <c:formatCode>General</c:formatCode>
                <c:ptCount val="1"/>
              </c:numCache>
            </c:numRef>
          </c:val>
          <c:extLst>
            <c:ext xmlns:c16="http://schemas.microsoft.com/office/drawing/2014/chart" uri="{C3380CC4-5D6E-409C-BE32-E72D297353CC}">
              <c16:uniqueId val="{00000013-D718-B24D-B71E-2762CC221109}"/>
            </c:ext>
          </c:extLst>
        </c:ser>
        <c:ser>
          <c:idx val="10"/>
          <c:order val="10"/>
          <c:invertIfNegative val="1"/>
          <c:cat>
            <c:strRef>
              <c:f>'4- VEHICULES UTILITAIRES'!$L$96</c:f>
              <c:strCache>
                <c:ptCount val="1"/>
                <c:pt idx="0">
                  <c:v>Nb de kms des voitures éléctriques</c:v>
                </c:pt>
              </c:strCache>
            </c:strRef>
          </c:cat>
          <c:val>
            <c:numRef>
              <c:f>'4- VEHICULES UTILITAIRES'!$M$109</c:f>
              <c:numCache>
                <c:formatCode>General</c:formatCode>
                <c:ptCount val="1"/>
              </c:numCache>
            </c:numRef>
          </c:val>
          <c:extLst>
            <c:ext xmlns:c16="http://schemas.microsoft.com/office/drawing/2014/chart" uri="{C3380CC4-5D6E-409C-BE32-E72D297353CC}">
              <c16:uniqueId val="{00000014-D718-B24D-B71E-2762CC221109}"/>
            </c:ext>
          </c:extLst>
        </c:ser>
        <c:ser>
          <c:idx val="11"/>
          <c:order val="11"/>
          <c:invertIfNegative val="1"/>
          <c:cat>
            <c:strRef>
              <c:f>'4- VEHICULES UTILITAIRES'!$L$96</c:f>
              <c:strCache>
                <c:ptCount val="1"/>
                <c:pt idx="0">
                  <c:v>Nb de kms des voitures éléctriques</c:v>
                </c:pt>
              </c:strCache>
            </c:strRef>
          </c:cat>
          <c:val>
            <c:numRef>
              <c:f>'4- VEHICULES UTILITAIRES'!$M$112</c:f>
              <c:numCache>
                <c:formatCode>General</c:formatCode>
                <c:ptCount val="1"/>
              </c:numCache>
            </c:numRef>
          </c:val>
          <c:extLst>
            <c:ext xmlns:c16="http://schemas.microsoft.com/office/drawing/2014/chart" uri="{C3380CC4-5D6E-409C-BE32-E72D297353CC}">
              <c16:uniqueId val="{00000015-D718-B24D-B71E-2762CC221109}"/>
            </c:ext>
          </c:extLst>
        </c:ser>
        <c:ser>
          <c:idx val="12"/>
          <c:order val="12"/>
          <c:invertIfNegative val="1"/>
          <c:cat>
            <c:strRef>
              <c:f>'4- VEHICULES UTILITAIRES'!$L$96</c:f>
              <c:strCache>
                <c:ptCount val="1"/>
                <c:pt idx="0">
                  <c:v>Nb de kms des voitures éléctriques</c:v>
                </c:pt>
              </c:strCache>
            </c:strRef>
          </c:cat>
          <c:val>
            <c:numRef>
              <c:f>'4- VEHICULES UTILITAIRES'!$M$115</c:f>
              <c:numCache>
                <c:formatCode>General</c:formatCode>
                <c:ptCount val="1"/>
              </c:numCache>
            </c:numRef>
          </c:val>
          <c:extLst>
            <c:ext xmlns:c16="http://schemas.microsoft.com/office/drawing/2014/chart" uri="{C3380CC4-5D6E-409C-BE32-E72D297353CC}">
              <c16:uniqueId val="{00000016-D718-B24D-B71E-2762CC221109}"/>
            </c:ext>
          </c:extLst>
        </c:ser>
        <c:ser>
          <c:idx val="13"/>
          <c:order val="13"/>
          <c:invertIfNegative val="1"/>
          <c:cat>
            <c:strRef>
              <c:f>'4- VEHICULES UTILITAIRES'!$L$96</c:f>
              <c:strCache>
                <c:ptCount val="1"/>
                <c:pt idx="0">
                  <c:v>Nb de kms des voitures éléctriques</c:v>
                </c:pt>
              </c:strCache>
            </c:strRef>
          </c:cat>
          <c:val>
            <c:numRef>
              <c:f>'4- VEHICULES UTILITAIRES'!$O$96</c:f>
              <c:numCache>
                <c:formatCode>0%</c:formatCode>
                <c:ptCount val="1"/>
                <c:pt idx="0">
                  <c:v>0</c:v>
                </c:pt>
              </c:numCache>
            </c:numRef>
          </c:val>
          <c:extLst>
            <c:ext xmlns:c16="http://schemas.microsoft.com/office/drawing/2014/chart" uri="{C3380CC4-5D6E-409C-BE32-E72D297353CC}">
              <c16:uniqueId val="{00000017-D718-B24D-B71E-2762CC221109}"/>
            </c:ext>
          </c:extLst>
        </c:ser>
        <c:ser>
          <c:idx val="14"/>
          <c:order val="14"/>
          <c:invertIfNegative val="1"/>
          <c:cat>
            <c:strRef>
              <c:f>'4- VEHICULES UTILITAIRES'!$L$96</c:f>
              <c:strCache>
                <c:ptCount val="1"/>
                <c:pt idx="0">
                  <c:v>Nb de kms des voitures éléctriques</c:v>
                </c:pt>
              </c:strCache>
            </c:strRef>
          </c:cat>
          <c:val>
            <c:numRef>
              <c:f>'4- VEHICULES UTILITAIRES'!$O$99</c:f>
              <c:numCache>
                <c:formatCode>0%</c:formatCode>
                <c:ptCount val="1"/>
                <c:pt idx="0">
                  <c:v>0</c:v>
                </c:pt>
              </c:numCache>
            </c:numRef>
          </c:val>
          <c:extLst>
            <c:ext xmlns:c16="http://schemas.microsoft.com/office/drawing/2014/chart" uri="{C3380CC4-5D6E-409C-BE32-E72D297353CC}">
              <c16:uniqueId val="{00000018-D718-B24D-B71E-2762CC221109}"/>
            </c:ext>
          </c:extLst>
        </c:ser>
        <c:ser>
          <c:idx val="15"/>
          <c:order val="15"/>
          <c:invertIfNegative val="1"/>
          <c:cat>
            <c:strRef>
              <c:f>'4- VEHICULES UTILITAIRES'!$L$96</c:f>
              <c:strCache>
                <c:ptCount val="1"/>
                <c:pt idx="0">
                  <c:v>Nb de kms des voitures éléctriques</c:v>
                </c:pt>
              </c:strCache>
            </c:strRef>
          </c:cat>
          <c:val>
            <c:numRef>
              <c:f>'4- VEHICULES UTILITAIRES'!$O$102</c:f>
              <c:numCache>
                <c:formatCode>0%</c:formatCode>
                <c:ptCount val="1"/>
                <c:pt idx="0">
                  <c:v>0</c:v>
                </c:pt>
              </c:numCache>
            </c:numRef>
          </c:val>
          <c:extLst>
            <c:ext xmlns:c16="http://schemas.microsoft.com/office/drawing/2014/chart" uri="{C3380CC4-5D6E-409C-BE32-E72D297353CC}">
              <c16:uniqueId val="{00000019-D718-B24D-B71E-2762CC221109}"/>
            </c:ext>
          </c:extLst>
        </c:ser>
        <c:ser>
          <c:idx val="16"/>
          <c:order val="16"/>
          <c:invertIfNegative val="1"/>
          <c:cat>
            <c:strRef>
              <c:f>'4- VEHICULES UTILITAIRES'!$L$96</c:f>
              <c:strCache>
                <c:ptCount val="1"/>
                <c:pt idx="0">
                  <c:v>Nb de kms des voitures éléctriques</c:v>
                </c:pt>
              </c:strCache>
            </c:strRef>
          </c:cat>
          <c:val>
            <c:numRef>
              <c:f>'4- VEHICULES UTILITAIRES'!$O$105</c:f>
              <c:numCache>
                <c:formatCode>0%</c:formatCode>
                <c:ptCount val="1"/>
                <c:pt idx="0">
                  <c:v>0.6</c:v>
                </c:pt>
              </c:numCache>
            </c:numRef>
          </c:val>
          <c:extLst>
            <c:ext xmlns:c16="http://schemas.microsoft.com/office/drawing/2014/chart" uri="{C3380CC4-5D6E-409C-BE32-E72D297353CC}">
              <c16:uniqueId val="{0000001A-D718-B24D-B71E-2762CC221109}"/>
            </c:ext>
          </c:extLst>
        </c:ser>
        <c:ser>
          <c:idx val="17"/>
          <c:order val="17"/>
          <c:invertIfNegative val="1"/>
          <c:cat>
            <c:strRef>
              <c:f>'4- VEHICULES UTILITAIRES'!$L$96</c:f>
              <c:strCache>
                <c:ptCount val="1"/>
                <c:pt idx="0">
                  <c:v>Nb de kms des voitures éléctriques</c:v>
                </c:pt>
              </c:strCache>
            </c:strRef>
          </c:cat>
          <c:val>
            <c:numRef>
              <c:f>'4- VEHICULES UTILITAIRES'!$O$109</c:f>
              <c:numCache>
                <c:formatCode>0%</c:formatCode>
                <c:ptCount val="1"/>
                <c:pt idx="0">
                  <c:v>0.4</c:v>
                </c:pt>
              </c:numCache>
            </c:numRef>
          </c:val>
          <c:extLst>
            <c:ext xmlns:c16="http://schemas.microsoft.com/office/drawing/2014/chart" uri="{C3380CC4-5D6E-409C-BE32-E72D297353CC}">
              <c16:uniqueId val="{0000001B-D718-B24D-B71E-2762CC221109}"/>
            </c:ext>
          </c:extLst>
        </c:ser>
        <c:ser>
          <c:idx val="18"/>
          <c:order val="18"/>
          <c:invertIfNegative val="1"/>
          <c:cat>
            <c:strRef>
              <c:f>'4- VEHICULES UTILITAIRES'!$L$96</c:f>
              <c:strCache>
                <c:ptCount val="1"/>
                <c:pt idx="0">
                  <c:v>Nb de kms des voitures éléctriques</c:v>
                </c:pt>
              </c:strCache>
            </c:strRef>
          </c:cat>
          <c:val>
            <c:numRef>
              <c:f>'4- VEHICULES UTILITAIRES'!$O$112</c:f>
              <c:numCache>
                <c:formatCode>0%</c:formatCode>
                <c:ptCount val="1"/>
                <c:pt idx="0">
                  <c:v>0</c:v>
                </c:pt>
              </c:numCache>
            </c:numRef>
          </c:val>
          <c:extLst>
            <c:ext xmlns:c16="http://schemas.microsoft.com/office/drawing/2014/chart" uri="{C3380CC4-5D6E-409C-BE32-E72D297353CC}">
              <c16:uniqueId val="{0000001C-D718-B24D-B71E-2762CC221109}"/>
            </c:ext>
          </c:extLst>
        </c:ser>
        <c:ser>
          <c:idx val="19"/>
          <c:order val="19"/>
          <c:invertIfNegative val="1"/>
          <c:cat>
            <c:strRef>
              <c:f>'4- VEHICULES UTILITAIRES'!$L$96</c:f>
              <c:strCache>
                <c:ptCount val="1"/>
                <c:pt idx="0">
                  <c:v>Nb de kms des voitures éléctriques</c:v>
                </c:pt>
              </c:strCache>
            </c:strRef>
          </c:cat>
          <c:val>
            <c:numRef>
              <c:f>'4- VEHICULES UTILITAIRES'!$O$115</c:f>
              <c:numCache>
                <c:formatCode>0%</c:formatCode>
                <c:ptCount val="1"/>
                <c:pt idx="0">
                  <c:v>0</c:v>
                </c:pt>
              </c:numCache>
            </c:numRef>
          </c:val>
          <c:extLst>
            <c:ext xmlns:c16="http://schemas.microsoft.com/office/drawing/2014/chart" uri="{C3380CC4-5D6E-409C-BE32-E72D297353CC}">
              <c16:uniqueId val="{0000001D-D718-B24D-B71E-2762CC221109}"/>
            </c:ext>
          </c:extLst>
        </c:ser>
        <c:dLbls>
          <c:showLegendKey val="0"/>
          <c:showVal val="0"/>
          <c:showCatName val="0"/>
          <c:showSerName val="0"/>
          <c:showPercent val="0"/>
          <c:showBubbleSize val="0"/>
        </c:dLbls>
        <c:gapWidth val="150"/>
        <c:axId val="1294420189"/>
        <c:axId val="4586827"/>
      </c:barChart>
      <c:catAx>
        <c:axId val="1294420189"/>
        <c:scaling>
          <c:orientation val="maxMin"/>
        </c:scaling>
        <c:delete val="0"/>
        <c:axPos val="l"/>
        <c:title>
          <c:tx>
            <c:rich>
              <a:bodyPr/>
              <a:lstStyle/>
              <a:p>
                <a:pPr lvl="0">
                  <a:defRPr b="0">
                    <a:solidFill>
                      <a:srgbClr val="000000"/>
                    </a:solidFill>
                    <a:latin typeface="+mn-lt"/>
                  </a:defRPr>
                </a:pPr>
                <a:endParaRPr lang="fr-FR"/>
              </a:p>
            </c:rich>
          </c:tx>
          <c:overlay val="0"/>
        </c:title>
        <c:numFmt formatCode="General" sourceLinked="0"/>
        <c:majorTickMark val="none"/>
        <c:minorTickMark val="none"/>
        <c:tickLblPos val="nextTo"/>
        <c:txPr>
          <a:bodyPr/>
          <a:lstStyle/>
          <a:p>
            <a:pPr lvl="0">
              <a:defRPr sz="900" b="0" i="0">
                <a:solidFill>
                  <a:srgbClr val="000000"/>
                </a:solidFill>
                <a:latin typeface="+mn-lt"/>
              </a:defRPr>
            </a:pPr>
            <a:endParaRPr lang="fr-FR"/>
          </a:p>
        </c:txPr>
        <c:crossAx val="4586827"/>
        <c:crosses val="autoZero"/>
        <c:auto val="1"/>
        <c:lblAlgn val="ctr"/>
        <c:lblOffset val="100"/>
        <c:noMultiLvlLbl val="1"/>
      </c:catAx>
      <c:valAx>
        <c:axId val="458682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fr-FR"/>
          </a:p>
        </c:txPr>
        <c:crossAx val="1294420189"/>
        <c:crosses val="max"/>
        <c:crossBetween val="between"/>
      </c:valAx>
    </c:plotArea>
    <c:legend>
      <c:legendPos val="b"/>
      <c:overlay val="0"/>
      <c:txPr>
        <a:bodyPr/>
        <a:lstStyle/>
        <a:p>
          <a:pPr lvl="0">
            <a:defRPr sz="900" b="0" i="0">
              <a:solidFill>
                <a:srgbClr val="1A1A1A"/>
              </a:solidFill>
              <a:latin typeface="+mn-lt"/>
            </a:defRPr>
          </a:pPr>
          <a:endParaRPr lang="fr-FR"/>
        </a:p>
      </c:txPr>
    </c:legend>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PAR NB DE JOURS D'UTILISATION</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AD30-004D-94D6-BB75B6AA2148}"/>
              </c:ext>
            </c:extLst>
          </c:dPt>
          <c:dPt>
            <c:idx val="1"/>
            <c:bubble3D val="0"/>
            <c:spPr>
              <a:solidFill>
                <a:schemeClr val="accent2"/>
              </a:solidFill>
            </c:spPr>
            <c:extLst>
              <c:ext xmlns:c16="http://schemas.microsoft.com/office/drawing/2014/chart" uri="{C3380CC4-5D6E-409C-BE32-E72D297353CC}">
                <c16:uniqueId val="{00000003-AD30-004D-94D6-BB75B6AA2148}"/>
              </c:ext>
            </c:extLst>
          </c:dPt>
          <c:dPt>
            <c:idx val="2"/>
            <c:bubble3D val="0"/>
            <c:spPr>
              <a:solidFill>
                <a:schemeClr val="accent3"/>
              </a:solidFill>
            </c:spPr>
            <c:extLst>
              <c:ext xmlns:c16="http://schemas.microsoft.com/office/drawing/2014/chart" uri="{C3380CC4-5D6E-409C-BE32-E72D297353CC}">
                <c16:uniqueId val="{00000005-AD30-004D-94D6-BB75B6AA2148}"/>
              </c:ext>
            </c:extLst>
          </c:dPt>
          <c:dPt>
            <c:idx val="3"/>
            <c:bubble3D val="0"/>
            <c:spPr>
              <a:solidFill>
                <a:schemeClr val="accent4"/>
              </a:solidFill>
            </c:spPr>
            <c:extLst>
              <c:ext xmlns:c16="http://schemas.microsoft.com/office/drawing/2014/chart" uri="{C3380CC4-5D6E-409C-BE32-E72D297353CC}">
                <c16:uniqueId val="{00000007-AD30-004D-94D6-BB75B6AA2148}"/>
              </c:ext>
            </c:extLst>
          </c:dPt>
          <c:dPt>
            <c:idx val="4"/>
            <c:bubble3D val="0"/>
            <c:spPr>
              <a:solidFill>
                <a:schemeClr val="accent5"/>
              </a:solidFill>
            </c:spPr>
            <c:extLst>
              <c:ext xmlns:c16="http://schemas.microsoft.com/office/drawing/2014/chart" uri="{C3380CC4-5D6E-409C-BE32-E72D297353CC}">
                <c16:uniqueId val="{00000009-AD30-004D-94D6-BB75B6AA214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numRef>
              <c:f>'12- CARS PROD &amp; REGIE'!$G$28:$G$32</c:f>
              <c:numCache>
                <c:formatCode>General\ "jour(s)"</c:formatCode>
                <c:ptCount val="5"/>
                <c:pt idx="0">
                  <c:v>2</c:v>
                </c:pt>
                <c:pt idx="1">
                  <c:v>0</c:v>
                </c:pt>
                <c:pt idx="2">
                  <c:v>0</c:v>
                </c:pt>
                <c:pt idx="3">
                  <c:v>0</c:v>
                </c:pt>
                <c:pt idx="4">
                  <c:v>0</c:v>
                </c:pt>
              </c:numCache>
            </c:numRef>
          </c:cat>
          <c:val>
            <c:numRef>
              <c:f>'12- CARS PROD &amp; REGIE'!$H$28:$H$32</c:f>
              <c:numCache>
                <c:formatCode>General\ "km"</c:formatCode>
                <c:ptCount val="5"/>
                <c:pt idx="0">
                  <c:v>150</c:v>
                </c:pt>
                <c:pt idx="1">
                  <c:v>0</c:v>
                </c:pt>
                <c:pt idx="2">
                  <c:v>0</c:v>
                </c:pt>
                <c:pt idx="3">
                  <c:v>0</c:v>
                </c:pt>
                <c:pt idx="4">
                  <c:v>0</c:v>
                </c:pt>
              </c:numCache>
            </c:numRef>
          </c:val>
          <c:extLst>
            <c:ext xmlns:c16="http://schemas.microsoft.com/office/drawing/2014/chart" uri="{C3380CC4-5D6E-409C-BE32-E72D297353CC}">
              <c16:uniqueId val="{0000000A-AD30-004D-94D6-BB75B6AA214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616061252012002"/>
          <c:y val="0.15648748653785774"/>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PAR NB DE KM PARCOURUS</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2715-5B4C-92C0-72F7343AB915}"/>
              </c:ext>
            </c:extLst>
          </c:dPt>
          <c:dPt>
            <c:idx val="1"/>
            <c:bubble3D val="0"/>
            <c:spPr>
              <a:solidFill>
                <a:schemeClr val="accent2"/>
              </a:solidFill>
            </c:spPr>
            <c:extLst>
              <c:ext xmlns:c16="http://schemas.microsoft.com/office/drawing/2014/chart" uri="{C3380CC4-5D6E-409C-BE32-E72D297353CC}">
                <c16:uniqueId val="{00000003-2715-5B4C-92C0-72F7343AB915}"/>
              </c:ext>
            </c:extLst>
          </c:dPt>
          <c:dPt>
            <c:idx val="2"/>
            <c:bubble3D val="0"/>
            <c:spPr>
              <a:solidFill>
                <a:schemeClr val="accent3"/>
              </a:solidFill>
            </c:spPr>
            <c:extLst>
              <c:ext xmlns:c16="http://schemas.microsoft.com/office/drawing/2014/chart" uri="{C3380CC4-5D6E-409C-BE32-E72D297353CC}">
                <c16:uniqueId val="{00000005-2715-5B4C-92C0-72F7343AB915}"/>
              </c:ext>
            </c:extLst>
          </c:dPt>
          <c:dPt>
            <c:idx val="3"/>
            <c:bubble3D val="0"/>
            <c:spPr>
              <a:solidFill>
                <a:schemeClr val="accent4"/>
              </a:solidFill>
            </c:spPr>
            <c:extLst>
              <c:ext xmlns:c16="http://schemas.microsoft.com/office/drawing/2014/chart" uri="{C3380CC4-5D6E-409C-BE32-E72D297353CC}">
                <c16:uniqueId val="{00000007-2715-5B4C-92C0-72F7343AB915}"/>
              </c:ext>
            </c:extLst>
          </c:dPt>
          <c:dPt>
            <c:idx val="4"/>
            <c:bubble3D val="0"/>
            <c:spPr>
              <a:solidFill>
                <a:schemeClr val="accent5"/>
              </a:solidFill>
            </c:spPr>
            <c:extLst>
              <c:ext xmlns:c16="http://schemas.microsoft.com/office/drawing/2014/chart" uri="{C3380CC4-5D6E-409C-BE32-E72D297353CC}">
                <c16:uniqueId val="{00000009-2715-5B4C-92C0-72F7343AB9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'12- CARS PROD &amp; REGIE'!$E$28:$E$32</c:f>
              <c:strCache>
                <c:ptCount val="5"/>
                <c:pt idx="0">
                  <c:v>RÉGIE DE PRODUCTION FIXE</c:v>
                </c:pt>
                <c:pt idx="1">
                  <c:v>RÉGIE MOBILE (RÉGIE FLY)</c:v>
                </c:pt>
                <c:pt idx="2">
                  <c:v>CAR-RÉGIE (SEMI-REMORQUE)</c:v>
                </c:pt>
                <c:pt idx="3">
                  <c:v>CAR D'ACCOMPAGNEMENT (SEMI-REMORQUE)</c:v>
                </c:pt>
                <c:pt idx="4">
                  <c:v>CAR DE TRANSMISSION</c:v>
                </c:pt>
              </c:strCache>
            </c:strRef>
          </c:cat>
          <c:val>
            <c:numRef>
              <c:f>'12- CARS PROD &amp; REGIE'!$H$28:$H$32</c:f>
              <c:numCache>
                <c:formatCode>General\ "km"</c:formatCode>
                <c:ptCount val="5"/>
                <c:pt idx="0">
                  <c:v>150</c:v>
                </c:pt>
                <c:pt idx="1">
                  <c:v>0</c:v>
                </c:pt>
                <c:pt idx="2">
                  <c:v>0</c:v>
                </c:pt>
                <c:pt idx="3">
                  <c:v>0</c:v>
                </c:pt>
                <c:pt idx="4">
                  <c:v>0</c:v>
                </c:pt>
              </c:numCache>
            </c:numRef>
          </c:val>
          <c:extLst>
            <c:ext xmlns:c16="http://schemas.microsoft.com/office/drawing/2014/chart" uri="{C3380CC4-5D6E-409C-BE32-E72D297353CC}">
              <c16:uniqueId val="{0000000A-2715-5B4C-92C0-72F7343AB91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616061252012002"/>
          <c:y val="0.15648748653785774"/>
        </c:manualLayout>
      </c:layout>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Prépa</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572A-4144-944D-BB041A04E75D}"/>
              </c:ext>
            </c:extLst>
          </c:dPt>
          <c:dPt>
            <c:idx val="1"/>
            <c:bubble3D val="0"/>
            <c:spPr>
              <a:solidFill>
                <a:schemeClr val="accent2"/>
              </a:solidFill>
            </c:spPr>
            <c:extLst>
              <c:ext xmlns:c16="http://schemas.microsoft.com/office/drawing/2014/chart" uri="{C3380CC4-5D6E-409C-BE32-E72D297353CC}">
                <c16:uniqueId val="{00000003-572A-4144-944D-BB041A04E75D}"/>
              </c:ext>
            </c:extLst>
          </c:dPt>
          <c:dPt>
            <c:idx val="2"/>
            <c:bubble3D val="0"/>
            <c:spPr>
              <a:solidFill>
                <a:schemeClr val="accent3"/>
              </a:solidFill>
            </c:spPr>
            <c:extLst>
              <c:ext xmlns:c16="http://schemas.microsoft.com/office/drawing/2014/chart" uri="{C3380CC4-5D6E-409C-BE32-E72D297353CC}">
                <c16:uniqueId val="{00000005-572A-4144-944D-BB041A04E75D}"/>
              </c:ext>
            </c:extLst>
          </c:dPt>
          <c:dPt>
            <c:idx val="3"/>
            <c:bubble3D val="0"/>
            <c:spPr>
              <a:solidFill>
                <a:schemeClr val="accent4"/>
              </a:solidFill>
            </c:spPr>
            <c:extLst>
              <c:ext xmlns:c16="http://schemas.microsoft.com/office/drawing/2014/chart" uri="{C3380CC4-5D6E-409C-BE32-E72D297353CC}">
                <c16:uniqueId val="{00000007-572A-4144-944D-BB041A04E75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'14- GROUPES ELECTRO'!$D$66:$D$69</c:f>
              <c:strCache>
                <c:ptCount val="4"/>
                <c:pt idx="0">
                  <c:v>Camion groupe</c:v>
                </c:pt>
                <c:pt idx="1">
                  <c:v>Groupe mobile</c:v>
                </c:pt>
                <c:pt idx="2">
                  <c:v>Petit groupe de chantier</c:v>
                </c:pt>
                <c:pt idx="3">
                  <c:v>Générateur à batterie 10kWh</c:v>
                </c:pt>
              </c:strCache>
            </c:strRef>
          </c:cat>
          <c:val>
            <c:numRef>
              <c:f>'14- GROUPES ELECTRO'!$F$66:$F$69</c:f>
              <c:numCache>
                <c:formatCode>General</c:formatCode>
                <c:ptCount val="4"/>
                <c:pt idx="0">
                  <c:v>1</c:v>
                </c:pt>
                <c:pt idx="1">
                  <c:v>0</c:v>
                </c:pt>
                <c:pt idx="2">
                  <c:v>0</c:v>
                </c:pt>
                <c:pt idx="3">
                  <c:v>1</c:v>
                </c:pt>
              </c:numCache>
            </c:numRef>
          </c:val>
          <c:extLst>
            <c:ext xmlns:c16="http://schemas.microsoft.com/office/drawing/2014/chart" uri="{C3380CC4-5D6E-409C-BE32-E72D297353CC}">
              <c16:uniqueId val="{00000008-572A-4144-944D-BB041A04E75D}"/>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Tournage</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5BE1-BC4A-AE90-65A9A8571C73}"/>
              </c:ext>
            </c:extLst>
          </c:dPt>
          <c:dPt>
            <c:idx val="1"/>
            <c:bubble3D val="0"/>
            <c:spPr>
              <a:solidFill>
                <a:schemeClr val="accent2"/>
              </a:solidFill>
            </c:spPr>
            <c:extLst>
              <c:ext xmlns:c16="http://schemas.microsoft.com/office/drawing/2014/chart" uri="{C3380CC4-5D6E-409C-BE32-E72D297353CC}">
                <c16:uniqueId val="{00000003-5BE1-BC4A-AE90-65A9A8571C73}"/>
              </c:ext>
            </c:extLst>
          </c:dPt>
          <c:dPt>
            <c:idx val="2"/>
            <c:bubble3D val="0"/>
            <c:spPr>
              <a:solidFill>
                <a:schemeClr val="accent3"/>
              </a:solidFill>
            </c:spPr>
            <c:extLst>
              <c:ext xmlns:c16="http://schemas.microsoft.com/office/drawing/2014/chart" uri="{C3380CC4-5D6E-409C-BE32-E72D297353CC}">
                <c16:uniqueId val="{00000005-5BE1-BC4A-AE90-65A9A8571C73}"/>
              </c:ext>
            </c:extLst>
          </c:dPt>
          <c:dPt>
            <c:idx val="3"/>
            <c:bubble3D val="0"/>
            <c:spPr>
              <a:solidFill>
                <a:schemeClr val="accent4"/>
              </a:solidFill>
            </c:spPr>
            <c:extLst>
              <c:ext xmlns:c16="http://schemas.microsoft.com/office/drawing/2014/chart" uri="{C3380CC4-5D6E-409C-BE32-E72D297353CC}">
                <c16:uniqueId val="{00000007-5BE1-BC4A-AE90-65A9A8571C73}"/>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'14- GROUPES ELECTRO'!$D$66:$D$69</c:f>
              <c:strCache>
                <c:ptCount val="4"/>
                <c:pt idx="0">
                  <c:v>Camion groupe</c:v>
                </c:pt>
                <c:pt idx="1">
                  <c:v>Groupe mobile</c:v>
                </c:pt>
                <c:pt idx="2">
                  <c:v>Petit groupe de chantier</c:v>
                </c:pt>
                <c:pt idx="3">
                  <c:v>Générateur à batterie 10kWh</c:v>
                </c:pt>
              </c:strCache>
            </c:strRef>
          </c:cat>
          <c:val>
            <c:numRef>
              <c:f>'14- GROUPES ELECTRO'!$G$66:$G$69</c:f>
              <c:numCache>
                <c:formatCode>General</c:formatCode>
                <c:ptCount val="4"/>
                <c:pt idx="0">
                  <c:v>0</c:v>
                </c:pt>
                <c:pt idx="1">
                  <c:v>0</c:v>
                </c:pt>
                <c:pt idx="2">
                  <c:v>0</c:v>
                </c:pt>
                <c:pt idx="3">
                  <c:v>1</c:v>
                </c:pt>
              </c:numCache>
            </c:numRef>
          </c:val>
          <c:extLst>
            <c:ext xmlns:c16="http://schemas.microsoft.com/office/drawing/2014/chart" uri="{C3380CC4-5D6E-409C-BE32-E72D297353CC}">
              <c16:uniqueId val="{00000008-5BE1-BC4A-AE90-65A9A8571C73}"/>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sur la durée totale de la production</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D8B8-0545-A0EE-DC0CFE8AC271}"/>
              </c:ext>
            </c:extLst>
          </c:dPt>
          <c:dPt>
            <c:idx val="1"/>
            <c:bubble3D val="0"/>
            <c:spPr>
              <a:solidFill>
                <a:schemeClr val="accent2"/>
              </a:solidFill>
            </c:spPr>
            <c:extLst>
              <c:ext xmlns:c16="http://schemas.microsoft.com/office/drawing/2014/chart" uri="{C3380CC4-5D6E-409C-BE32-E72D297353CC}">
                <c16:uniqueId val="{00000003-D8B8-0545-A0EE-DC0CFE8AC271}"/>
              </c:ext>
            </c:extLst>
          </c:dPt>
          <c:dPt>
            <c:idx val="2"/>
            <c:bubble3D val="0"/>
            <c:spPr>
              <a:solidFill>
                <a:schemeClr val="accent3"/>
              </a:solidFill>
            </c:spPr>
            <c:extLst>
              <c:ext xmlns:c16="http://schemas.microsoft.com/office/drawing/2014/chart" uri="{C3380CC4-5D6E-409C-BE32-E72D297353CC}">
                <c16:uniqueId val="{00000005-D8B8-0545-A0EE-DC0CFE8AC271}"/>
              </c:ext>
            </c:extLst>
          </c:dPt>
          <c:dPt>
            <c:idx val="3"/>
            <c:bubble3D val="0"/>
            <c:spPr>
              <a:solidFill>
                <a:schemeClr val="accent4"/>
              </a:solidFill>
            </c:spPr>
            <c:extLst>
              <c:ext xmlns:c16="http://schemas.microsoft.com/office/drawing/2014/chart" uri="{C3380CC4-5D6E-409C-BE32-E72D297353CC}">
                <c16:uniqueId val="{00000007-D8B8-0545-A0EE-DC0CFE8AC27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'14- GROUPES ELECTRO'!$D$66:$D$69</c:f>
              <c:strCache>
                <c:ptCount val="4"/>
                <c:pt idx="0">
                  <c:v>Camion groupe</c:v>
                </c:pt>
                <c:pt idx="1">
                  <c:v>Groupe mobile</c:v>
                </c:pt>
                <c:pt idx="2">
                  <c:v>Petit groupe de chantier</c:v>
                </c:pt>
                <c:pt idx="3">
                  <c:v>Générateur à batterie 10kWh</c:v>
                </c:pt>
              </c:strCache>
            </c:strRef>
          </c:cat>
          <c:val>
            <c:numRef>
              <c:f>'14- GROUPES ELECTRO'!$H$66:$H$69</c:f>
              <c:numCache>
                <c:formatCode>General</c:formatCode>
                <c:ptCount val="4"/>
                <c:pt idx="0">
                  <c:v>1</c:v>
                </c:pt>
                <c:pt idx="1">
                  <c:v>0</c:v>
                </c:pt>
                <c:pt idx="2">
                  <c:v>0</c:v>
                </c:pt>
                <c:pt idx="3">
                  <c:v>2</c:v>
                </c:pt>
              </c:numCache>
            </c:numRef>
          </c:val>
          <c:extLst>
            <c:ext xmlns:c16="http://schemas.microsoft.com/office/drawing/2014/chart" uri="{C3380CC4-5D6E-409C-BE32-E72D297353CC}">
              <c16:uniqueId val="{00000008-D8B8-0545-A0EE-DC0CFE8AC271}"/>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lvl="0">
              <a:defRPr sz="1800" b="1" i="0" u="none" strike="noStrike" kern="1200" baseline="0">
                <a:solidFill>
                  <a:schemeClr val="dk1"/>
                </a:solidFill>
                <a:latin typeface="+mn-lt"/>
                <a:ea typeface="+mn-ea"/>
                <a:cs typeface="+mn-cs"/>
              </a:defRPr>
            </a:pPr>
            <a:r>
              <a:rPr lang="fr-FR" sz="1800" b="1" i="0">
                <a:solidFill>
                  <a:schemeClr val="dk1"/>
                </a:solidFill>
                <a:latin typeface="+mn-lt"/>
              </a:rPr>
              <a:t>Répartition du type de stockage</a:t>
            </a:r>
          </a:p>
        </c:rich>
      </c:tx>
      <c:overlay val="0"/>
      <c:spPr>
        <a:noFill/>
        <a:ln>
          <a:noFill/>
        </a:ln>
        <a:effectLst/>
      </c:spPr>
      <c:txPr>
        <a:bodyPr rot="0" spcFirstLastPara="1" vertOverflow="ellipsis" vert="horz" wrap="square" anchor="ctr" anchorCtr="1"/>
        <a:lstStyle/>
        <a:p>
          <a:pPr lvl="0">
            <a:defRPr sz="1800" b="1" i="0" u="none" strike="noStrike" kern="1200" baseline="0">
              <a:solidFill>
                <a:schemeClr val="dk1"/>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07AD-C64A-84A2-718A90805260}"/>
              </c:ext>
            </c:extLst>
          </c:dPt>
          <c:dPt>
            <c:idx val="1"/>
            <c:bubble3D val="0"/>
            <c:spPr>
              <a:solidFill>
                <a:schemeClr val="accent2"/>
              </a:solidFill>
              <a:ln>
                <a:noFill/>
              </a:ln>
              <a:effectLst/>
            </c:spPr>
            <c:extLst>
              <c:ext xmlns:c16="http://schemas.microsoft.com/office/drawing/2014/chart" uri="{C3380CC4-5D6E-409C-BE32-E72D297353CC}">
                <c16:uniqueId val="{00000003-07AD-C64A-84A2-718A90805260}"/>
              </c:ext>
            </c:extLst>
          </c:dPt>
          <c:dPt>
            <c:idx val="2"/>
            <c:bubble3D val="0"/>
            <c:spPr>
              <a:solidFill>
                <a:schemeClr val="accent3"/>
              </a:solidFill>
              <a:ln>
                <a:noFill/>
              </a:ln>
              <a:effectLst/>
            </c:spPr>
            <c:extLst>
              <c:ext xmlns:c16="http://schemas.microsoft.com/office/drawing/2014/chart" uri="{C3380CC4-5D6E-409C-BE32-E72D297353CC}">
                <c16:uniqueId val="{00000005-07AD-C64A-84A2-718A9080526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fr-FR"/>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'15- DATA &amp; POST-PROD'!$H$20:$H$22</c:f>
              <c:strCache>
                <c:ptCount val="3"/>
                <c:pt idx="0">
                  <c:v>TOTAL LTO</c:v>
                </c:pt>
                <c:pt idx="1">
                  <c:v>TOTAL HDD</c:v>
                </c:pt>
                <c:pt idx="2">
                  <c:v>TOTAL CLOUD</c:v>
                </c:pt>
              </c:strCache>
            </c:strRef>
          </c:cat>
          <c:val>
            <c:numRef>
              <c:f>'15- DATA &amp; POST-PROD'!$I$20:$I$22</c:f>
              <c:numCache>
                <c:formatCode>General\ "To"</c:formatCode>
                <c:ptCount val="3"/>
                <c:pt idx="0">
                  <c:v>15</c:v>
                </c:pt>
                <c:pt idx="1">
                  <c:v>0</c:v>
                </c:pt>
                <c:pt idx="2">
                  <c:v>0</c:v>
                </c:pt>
              </c:numCache>
            </c:numRef>
          </c:val>
          <c:extLst>
            <c:ext xmlns:c16="http://schemas.microsoft.com/office/drawing/2014/chart" uri="{C3380CC4-5D6E-409C-BE32-E72D297353CC}">
              <c16:uniqueId val="{00000006-07AD-C64A-84A2-718A9080526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lvl="0">
            <a:defRPr sz="900" b="0" i="0" u="none" strike="noStrike" kern="1200" baseline="0">
              <a:solidFill>
                <a:schemeClr val="dk1"/>
              </a:solidFill>
              <a:latin typeface="+mn-lt"/>
              <a:ea typeface="+mn-ea"/>
              <a:cs typeface="+mn-cs"/>
            </a:defRPr>
          </a:pPr>
          <a:endParaRPr lang="fr-FR"/>
        </a:p>
      </c:txPr>
    </c:legend>
    <c:plotVisOnly val="1"/>
    <c:dispBlanksAs val="zero"/>
    <c:showDLblsOverMax val="1"/>
  </c:chart>
  <c:spPr>
    <a:solidFill>
      <a:schemeClr val="lt1"/>
    </a:solidFill>
    <a:ln w="6350" cap="flat" cmpd="sng" algn="ctr">
      <a:solidFill>
        <a:schemeClr val="tx1">
          <a:tint val="75000"/>
        </a:schemeClr>
      </a:solidFill>
      <a:prstDash val="solid"/>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E070-284D-98E0-021988D68120}"/>
              </c:ext>
            </c:extLst>
          </c:dPt>
          <c:dPt>
            <c:idx val="1"/>
            <c:bubble3D val="0"/>
            <c:spPr>
              <a:solidFill>
                <a:schemeClr val="accent2"/>
              </a:solidFill>
            </c:spPr>
            <c:extLst>
              <c:ext xmlns:c16="http://schemas.microsoft.com/office/drawing/2014/chart" uri="{C3380CC4-5D6E-409C-BE32-E72D297353CC}">
                <c16:uniqueId val="{00000003-E070-284D-98E0-021988D68120}"/>
              </c:ext>
            </c:extLst>
          </c:dPt>
          <c:dPt>
            <c:idx val="2"/>
            <c:bubble3D val="0"/>
            <c:spPr>
              <a:solidFill>
                <a:schemeClr val="accent3"/>
              </a:solidFill>
            </c:spPr>
            <c:extLst>
              <c:ext xmlns:c16="http://schemas.microsoft.com/office/drawing/2014/chart" uri="{C3380CC4-5D6E-409C-BE32-E72D297353CC}">
                <c16:uniqueId val="{00000005-E070-284D-98E0-021988D68120}"/>
              </c:ext>
            </c:extLst>
          </c:dPt>
          <c:dPt>
            <c:idx val="3"/>
            <c:bubble3D val="0"/>
            <c:spPr>
              <a:solidFill>
                <a:schemeClr val="accent4"/>
              </a:solidFill>
            </c:spPr>
            <c:extLst>
              <c:ext xmlns:c16="http://schemas.microsoft.com/office/drawing/2014/chart" uri="{C3380CC4-5D6E-409C-BE32-E72D297353CC}">
                <c16:uniqueId val="{00000007-E070-284D-98E0-021988D68120}"/>
              </c:ext>
            </c:extLst>
          </c:dPt>
          <c:dPt>
            <c:idx val="4"/>
            <c:bubble3D val="0"/>
            <c:spPr>
              <a:solidFill>
                <a:schemeClr val="accent5"/>
              </a:solidFill>
            </c:spPr>
            <c:extLst>
              <c:ext xmlns:c16="http://schemas.microsoft.com/office/drawing/2014/chart" uri="{C3380CC4-5D6E-409C-BE32-E72D297353CC}">
                <c16:uniqueId val="{00000009-E070-284D-98E0-021988D68120}"/>
              </c:ext>
            </c:extLst>
          </c:dPt>
          <c:dPt>
            <c:idx val="5"/>
            <c:bubble3D val="0"/>
            <c:spPr>
              <a:solidFill>
                <a:schemeClr val="accent6"/>
              </a:solidFill>
            </c:spPr>
            <c:extLst>
              <c:ext xmlns:c16="http://schemas.microsoft.com/office/drawing/2014/chart" uri="{C3380CC4-5D6E-409C-BE32-E72D297353CC}">
                <c16:uniqueId val="{0000000B-E070-284D-98E0-021988D68120}"/>
              </c:ext>
            </c:extLst>
          </c:dPt>
          <c:dPt>
            <c:idx val="6"/>
            <c:bubble3D val="0"/>
            <c:spPr>
              <a:solidFill>
                <a:schemeClr val="accent1"/>
              </a:solidFill>
            </c:spPr>
            <c:extLst>
              <c:ext xmlns:c16="http://schemas.microsoft.com/office/drawing/2014/chart" uri="{C3380CC4-5D6E-409C-BE32-E72D297353CC}">
                <c16:uniqueId val="{0000000D-E070-284D-98E0-021988D68120}"/>
              </c:ext>
            </c:extLst>
          </c:dPt>
          <c:dPt>
            <c:idx val="7"/>
            <c:bubble3D val="0"/>
            <c:spPr>
              <a:solidFill>
                <a:schemeClr val="accent2"/>
              </a:solidFill>
            </c:spPr>
            <c:extLst>
              <c:ext xmlns:c16="http://schemas.microsoft.com/office/drawing/2014/chart" uri="{C3380CC4-5D6E-409C-BE32-E72D297353CC}">
                <c16:uniqueId val="{0000000F-E070-284D-98E0-021988D68120}"/>
              </c:ext>
            </c:extLst>
          </c:dPt>
          <c:dPt>
            <c:idx val="8"/>
            <c:bubble3D val="0"/>
            <c:spPr>
              <a:solidFill>
                <a:schemeClr val="accent3"/>
              </a:solidFill>
            </c:spPr>
            <c:extLst>
              <c:ext xmlns:c16="http://schemas.microsoft.com/office/drawing/2014/chart" uri="{C3380CC4-5D6E-409C-BE32-E72D297353CC}">
                <c16:uniqueId val="{00000011-E070-284D-98E0-021988D68120}"/>
              </c:ext>
            </c:extLst>
          </c:dPt>
          <c:dPt>
            <c:idx val="9"/>
            <c:bubble3D val="0"/>
            <c:spPr>
              <a:solidFill>
                <a:schemeClr val="accent4"/>
              </a:solidFill>
            </c:spPr>
            <c:extLst>
              <c:ext xmlns:c16="http://schemas.microsoft.com/office/drawing/2014/chart" uri="{C3380CC4-5D6E-409C-BE32-E72D297353CC}">
                <c16:uniqueId val="{00000013-E070-284D-98E0-021988D6812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'3- VEHICULES LEGERS'!$G$125:$G$134</c:f>
              <c:strCache>
                <c:ptCount val="10"/>
                <c:pt idx="0">
                  <c:v>Voiture essence</c:v>
                </c:pt>
                <c:pt idx="1">
                  <c:v>Voiture diesel</c:v>
                </c:pt>
                <c:pt idx="2">
                  <c:v>Voiture hybride</c:v>
                </c:pt>
                <c:pt idx="3">
                  <c:v>Voiture électrique</c:v>
                </c:pt>
                <c:pt idx="4">
                  <c:v>Minibus / Van</c:v>
                </c:pt>
                <c:pt idx="5">
                  <c:v>Moto &gt;250cc</c:v>
                </c:pt>
                <c:pt idx="6">
                  <c:v>Scooter essence</c:v>
                </c:pt>
                <c:pt idx="7">
                  <c:v>Scooter électrique</c:v>
                </c:pt>
                <c:pt idx="8">
                  <c:v>Taxi</c:v>
                </c:pt>
                <c:pt idx="9">
                  <c:v>Bus</c:v>
                </c:pt>
              </c:strCache>
            </c:strRef>
          </c:cat>
          <c:val>
            <c:numRef>
              <c:f>'3- VEHICULES LEGERS'!$J$125:$J$134</c:f>
              <c:numCache>
                <c:formatCode>General</c:formatCode>
                <c:ptCount val="10"/>
                <c:pt idx="0">
                  <c:v>0</c:v>
                </c:pt>
                <c:pt idx="1">
                  <c:v>0</c:v>
                </c:pt>
                <c:pt idx="2">
                  <c:v>0</c:v>
                </c:pt>
                <c:pt idx="3">
                  <c:v>0</c:v>
                </c:pt>
                <c:pt idx="4">
                  <c:v>0</c:v>
                </c:pt>
                <c:pt idx="5">
                  <c:v>0</c:v>
                </c:pt>
                <c:pt idx="6">
                  <c:v>0</c:v>
                </c:pt>
                <c:pt idx="7">
                  <c:v>0</c:v>
                </c:pt>
                <c:pt idx="8">
                  <c:v>100</c:v>
                </c:pt>
                <c:pt idx="9">
                  <c:v>0</c:v>
                </c:pt>
              </c:numCache>
            </c:numRef>
          </c:val>
          <c:extLst>
            <c:ext xmlns:c16="http://schemas.microsoft.com/office/drawing/2014/chart" uri="{C3380CC4-5D6E-409C-BE32-E72D297353CC}">
              <c16:uniqueId val="{00000014-E070-284D-98E0-021988D6812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Répartition du temps en post-production</a:t>
            </a:r>
          </a:p>
        </c:rich>
      </c:tx>
      <c:overlay val="0"/>
    </c:title>
    <c:autoTitleDeleted val="0"/>
    <c:plotArea>
      <c:layout/>
      <c:pieChart>
        <c:varyColors val="1"/>
        <c:ser>
          <c:idx val="0"/>
          <c:order val="0"/>
          <c:dPt>
            <c:idx val="0"/>
            <c:bubble3D val="0"/>
            <c:spPr>
              <a:solidFill>
                <a:schemeClr val="accent4"/>
              </a:solidFill>
            </c:spPr>
            <c:extLst>
              <c:ext xmlns:c16="http://schemas.microsoft.com/office/drawing/2014/chart" uri="{C3380CC4-5D6E-409C-BE32-E72D297353CC}">
                <c16:uniqueId val="{00000001-3897-D541-8429-7D0B65556A1E}"/>
              </c:ext>
            </c:extLst>
          </c:dPt>
          <c:dPt>
            <c:idx val="1"/>
            <c:bubble3D val="0"/>
            <c:spPr>
              <a:solidFill>
                <a:schemeClr val="accent4"/>
              </a:solidFill>
            </c:spPr>
            <c:extLst>
              <c:ext xmlns:c16="http://schemas.microsoft.com/office/drawing/2014/chart" uri="{C3380CC4-5D6E-409C-BE32-E72D297353CC}">
                <c16:uniqueId val="{00000003-3897-D541-8429-7D0B65556A1E}"/>
              </c:ext>
            </c:extLst>
          </c:dPt>
          <c:dPt>
            <c:idx val="2"/>
            <c:bubble3D val="0"/>
            <c:spPr>
              <a:solidFill>
                <a:schemeClr val="accent4"/>
              </a:solidFill>
            </c:spPr>
            <c:extLst>
              <c:ext xmlns:c16="http://schemas.microsoft.com/office/drawing/2014/chart" uri="{C3380CC4-5D6E-409C-BE32-E72D297353CC}">
                <c16:uniqueId val="{00000005-3897-D541-8429-7D0B65556A1E}"/>
              </c:ext>
            </c:extLst>
          </c:dPt>
          <c:dPt>
            <c:idx val="3"/>
            <c:bubble3D val="0"/>
            <c:spPr>
              <a:solidFill>
                <a:schemeClr val="accent4"/>
              </a:solidFill>
            </c:spPr>
            <c:extLst>
              <c:ext xmlns:c16="http://schemas.microsoft.com/office/drawing/2014/chart" uri="{C3380CC4-5D6E-409C-BE32-E72D297353CC}">
                <c16:uniqueId val="{00000007-3897-D541-8429-7D0B65556A1E}"/>
              </c:ext>
            </c:extLst>
          </c:dPt>
          <c:dPt>
            <c:idx val="4"/>
            <c:bubble3D val="0"/>
            <c:spPr>
              <a:solidFill>
                <a:schemeClr val="accent4"/>
              </a:solidFill>
            </c:spPr>
            <c:extLst>
              <c:ext xmlns:c16="http://schemas.microsoft.com/office/drawing/2014/chart" uri="{C3380CC4-5D6E-409C-BE32-E72D297353CC}">
                <c16:uniqueId val="{00000009-3897-D541-8429-7D0B65556A1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'15- DATA &amp; POST-PROD'!$G$65:$G$69</c:f>
              <c:strCache>
                <c:ptCount val="5"/>
                <c:pt idx="0">
                  <c:v>TOTAL Montage Vidéo</c:v>
                </c:pt>
                <c:pt idx="1">
                  <c:v>TOTAL Montage et mixage son</c:v>
                </c:pt>
                <c:pt idx="2">
                  <c:v>TOTAL VFX et Infographie</c:v>
                </c:pt>
                <c:pt idx="3">
                  <c:v>TOTAL Etalonnage</c:v>
                </c:pt>
                <c:pt idx="4">
                  <c:v>TOTAL Laboratoire</c:v>
                </c:pt>
              </c:strCache>
            </c:strRef>
          </c:cat>
          <c:val>
            <c:numRef>
              <c:f>'15- DATA &amp; POST-PROD'!$H$65:$H$69</c:f>
              <c:numCache>
                <c:formatCode>General</c:formatCode>
                <c:ptCount val="5"/>
              </c:numCache>
            </c:numRef>
          </c:val>
          <c:extLst>
            <c:ext xmlns:c16="http://schemas.microsoft.com/office/drawing/2014/chart" uri="{C3380CC4-5D6E-409C-BE32-E72D297353CC}">
              <c16:uniqueId val="{0000000A-3897-D541-8429-7D0B65556A1E}"/>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800" b="1" i="0">
                <a:solidFill>
                  <a:schemeClr val="dk1"/>
                </a:solidFill>
                <a:latin typeface="+mn-lt"/>
              </a:defRPr>
            </a:pPr>
            <a:r>
              <a:rPr lang="fr-FR" sz="1800" b="1" i="0">
                <a:solidFill>
                  <a:schemeClr val="dk1"/>
                </a:solidFill>
                <a:latin typeface="+mn-lt"/>
              </a:rPr>
              <a:t>Répartition des rendus et calculs informatiques</a:t>
            </a:r>
          </a:p>
        </c:rich>
      </c:tx>
      <c:overlay val="0"/>
    </c:title>
    <c:autoTitleDeleted val="0"/>
    <c:plotArea>
      <c:layout/>
      <c:pieChart>
        <c:varyColors val="1"/>
        <c:ser>
          <c:idx val="0"/>
          <c:order val="0"/>
          <c:dPt>
            <c:idx val="0"/>
            <c:bubble3D val="0"/>
            <c:spPr>
              <a:solidFill>
                <a:srgbClr val="A9C7E9"/>
              </a:solidFill>
            </c:spPr>
            <c:extLst>
              <c:ext xmlns:c16="http://schemas.microsoft.com/office/drawing/2014/chart" uri="{C3380CC4-5D6E-409C-BE32-E72D297353CC}">
                <c16:uniqueId val="{00000001-AFC9-214C-9C16-CDDDB7F8BE60}"/>
              </c:ext>
            </c:extLst>
          </c:dPt>
          <c:dPt>
            <c:idx val="1"/>
            <c:bubble3D val="0"/>
            <c:spPr>
              <a:solidFill>
                <a:srgbClr val="F7C39F"/>
              </a:solidFill>
            </c:spPr>
            <c:extLst>
              <c:ext xmlns:c16="http://schemas.microsoft.com/office/drawing/2014/chart" uri="{C3380CC4-5D6E-409C-BE32-E72D297353CC}">
                <c16:uniqueId val="{00000003-AFC9-214C-9C16-CDDDB7F8BE60}"/>
              </c:ext>
            </c:extLst>
          </c:dPt>
          <c:dPt>
            <c:idx val="2"/>
            <c:bubble3D val="0"/>
            <c:spPr>
              <a:solidFill>
                <a:srgbClr val="D3E7C7"/>
              </a:solidFill>
            </c:spPr>
            <c:extLst>
              <c:ext xmlns:c16="http://schemas.microsoft.com/office/drawing/2014/chart" uri="{C3380CC4-5D6E-409C-BE32-E72D297353CC}">
                <c16:uniqueId val="{00000005-AFC9-214C-9C16-CDDDB7F8BE60}"/>
              </c:ext>
            </c:extLst>
          </c:dPt>
          <c:dPt>
            <c:idx val="3"/>
            <c:bubble3D val="0"/>
            <c:spPr>
              <a:solidFill>
                <a:srgbClr val="EBEA74"/>
              </a:solidFill>
            </c:spPr>
            <c:extLst>
              <c:ext xmlns:c16="http://schemas.microsoft.com/office/drawing/2014/chart" uri="{C3380CC4-5D6E-409C-BE32-E72D297353CC}">
                <c16:uniqueId val="{00000007-AFC9-214C-9C16-CDDDB7F8BE60}"/>
              </c:ext>
            </c:extLst>
          </c:dPt>
          <c:dPt>
            <c:idx val="4"/>
            <c:bubble3D val="0"/>
            <c:spPr>
              <a:solidFill>
                <a:schemeClr val="accent4"/>
              </a:solidFill>
            </c:spPr>
            <c:extLst>
              <c:ext xmlns:c16="http://schemas.microsoft.com/office/drawing/2014/chart" uri="{C3380CC4-5D6E-409C-BE32-E72D297353CC}">
                <c16:uniqueId val="{00000009-AFC9-214C-9C16-CDDDB7F8BE6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'15- DATA &amp; POST-PROD'!$G$65:$G$69</c:f>
              <c:strCache>
                <c:ptCount val="5"/>
                <c:pt idx="0">
                  <c:v>TOTAL Montage Vidéo</c:v>
                </c:pt>
                <c:pt idx="1">
                  <c:v>TOTAL Montage et mixage son</c:v>
                </c:pt>
                <c:pt idx="2">
                  <c:v>TOTAL VFX et Infographie</c:v>
                </c:pt>
                <c:pt idx="3">
                  <c:v>TOTAL Etalonnage</c:v>
                </c:pt>
                <c:pt idx="4">
                  <c:v>TOTAL Laboratoire</c:v>
                </c:pt>
              </c:strCache>
            </c:strRef>
          </c:cat>
          <c:val>
            <c:numRef>
              <c:f>'15- DATA &amp; POST-PROD'!$H$65:$H$69</c:f>
              <c:numCache>
                <c:formatCode>General</c:formatCode>
                <c:ptCount val="5"/>
              </c:numCache>
            </c:numRef>
          </c:val>
          <c:extLst>
            <c:ext xmlns:c16="http://schemas.microsoft.com/office/drawing/2014/chart" uri="{C3380CC4-5D6E-409C-BE32-E72D297353CC}">
              <c16:uniqueId val="{0000000A-AFC9-214C-9C16-CDDDB7F8BE60}"/>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EFF3-D849-ADCE-6532E755177A}"/>
              </c:ext>
            </c:extLst>
          </c:dPt>
          <c:dPt>
            <c:idx val="1"/>
            <c:bubble3D val="0"/>
            <c:spPr>
              <a:solidFill>
                <a:schemeClr val="accent2"/>
              </a:solidFill>
            </c:spPr>
            <c:extLst>
              <c:ext xmlns:c16="http://schemas.microsoft.com/office/drawing/2014/chart" uri="{C3380CC4-5D6E-409C-BE32-E72D297353CC}">
                <c16:uniqueId val="{00000003-EFF3-D849-ADCE-6532E755177A}"/>
              </c:ext>
            </c:extLst>
          </c:dPt>
          <c:dPt>
            <c:idx val="2"/>
            <c:bubble3D val="0"/>
            <c:spPr>
              <a:solidFill>
                <a:schemeClr val="accent3"/>
              </a:solidFill>
            </c:spPr>
            <c:extLst>
              <c:ext xmlns:c16="http://schemas.microsoft.com/office/drawing/2014/chart" uri="{C3380CC4-5D6E-409C-BE32-E72D297353CC}">
                <c16:uniqueId val="{00000005-EFF3-D849-ADCE-6532E755177A}"/>
              </c:ext>
            </c:extLst>
          </c:dPt>
          <c:dPt>
            <c:idx val="3"/>
            <c:bubble3D val="0"/>
            <c:spPr>
              <a:solidFill>
                <a:schemeClr val="accent4"/>
              </a:solidFill>
            </c:spPr>
            <c:extLst>
              <c:ext xmlns:c16="http://schemas.microsoft.com/office/drawing/2014/chart" uri="{C3380CC4-5D6E-409C-BE32-E72D297353CC}">
                <c16:uniqueId val="{00000007-EFF3-D849-ADCE-6532E755177A}"/>
              </c:ext>
            </c:extLst>
          </c:dPt>
          <c:dPt>
            <c:idx val="4"/>
            <c:bubble3D val="0"/>
            <c:spPr>
              <a:solidFill>
                <a:schemeClr val="accent5"/>
              </a:solidFill>
            </c:spPr>
            <c:extLst>
              <c:ext xmlns:c16="http://schemas.microsoft.com/office/drawing/2014/chart" uri="{C3380CC4-5D6E-409C-BE32-E72D297353CC}">
                <c16:uniqueId val="{00000009-EFF3-D849-ADCE-6532E755177A}"/>
              </c:ext>
            </c:extLst>
          </c:dPt>
          <c:dPt>
            <c:idx val="5"/>
            <c:bubble3D val="0"/>
            <c:spPr>
              <a:solidFill>
                <a:schemeClr val="accent6"/>
              </a:solidFill>
            </c:spPr>
            <c:extLst>
              <c:ext xmlns:c16="http://schemas.microsoft.com/office/drawing/2014/chart" uri="{C3380CC4-5D6E-409C-BE32-E72D297353CC}">
                <c16:uniqueId val="{0000000B-EFF3-D849-ADCE-6532E755177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'4- VEHICULES UTILITAIRES'!$J$122:$J$127</c:f>
              <c:strCache>
                <c:ptCount val="6"/>
                <c:pt idx="0">
                  <c:v>Camionette</c:v>
                </c:pt>
                <c:pt idx="1">
                  <c:v>Camion &lt;7t</c:v>
                </c:pt>
                <c:pt idx="2">
                  <c:v>Camion &gt;7t</c:v>
                </c:pt>
                <c:pt idx="3">
                  <c:v>Fret - avion</c:v>
                </c:pt>
                <c:pt idx="4">
                  <c:v>Fret - train</c:v>
                </c:pt>
                <c:pt idx="5">
                  <c:v>Fret - bateau</c:v>
                </c:pt>
              </c:strCache>
            </c:strRef>
          </c:cat>
          <c:val>
            <c:numRef>
              <c:f>'4- VEHICULES UTILITAIRES'!$K$122:$K$127</c:f>
              <c:numCache>
                <c:formatCode>General</c:formatCode>
                <c:ptCount val="6"/>
                <c:pt idx="0">
                  <c:v>1500</c:v>
                </c:pt>
                <c:pt idx="1">
                  <c:v>0</c:v>
                </c:pt>
                <c:pt idx="2">
                  <c:v>0</c:v>
                </c:pt>
                <c:pt idx="3">
                  <c:v>0</c:v>
                </c:pt>
                <c:pt idx="4">
                  <c:v>0</c:v>
                </c:pt>
                <c:pt idx="5">
                  <c:v>0</c:v>
                </c:pt>
              </c:numCache>
            </c:numRef>
          </c:val>
          <c:extLst>
            <c:ext xmlns:c16="http://schemas.microsoft.com/office/drawing/2014/chart" uri="{C3380CC4-5D6E-409C-BE32-E72D297353CC}">
              <c16:uniqueId val="{0000000C-EFF3-D849-ADCE-6532E755177A}"/>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BFF8-A744-9D7F-EB889273DAA7}"/>
              </c:ext>
            </c:extLst>
          </c:dPt>
          <c:dPt>
            <c:idx val="1"/>
            <c:bubble3D val="0"/>
            <c:spPr>
              <a:solidFill>
                <a:schemeClr val="accent2"/>
              </a:solidFill>
            </c:spPr>
            <c:extLst>
              <c:ext xmlns:c16="http://schemas.microsoft.com/office/drawing/2014/chart" uri="{C3380CC4-5D6E-409C-BE32-E72D297353CC}">
                <c16:uniqueId val="{00000003-BFF8-A744-9D7F-EB889273DAA7}"/>
              </c:ext>
            </c:extLst>
          </c:dPt>
          <c:dPt>
            <c:idx val="2"/>
            <c:bubble3D val="0"/>
            <c:spPr>
              <a:solidFill>
                <a:schemeClr val="accent3"/>
              </a:solidFill>
            </c:spPr>
            <c:extLst>
              <c:ext xmlns:c16="http://schemas.microsoft.com/office/drawing/2014/chart" uri="{C3380CC4-5D6E-409C-BE32-E72D297353CC}">
                <c16:uniqueId val="{00000005-BFF8-A744-9D7F-EB889273DAA7}"/>
              </c:ext>
            </c:extLst>
          </c:dPt>
          <c:dPt>
            <c:idx val="3"/>
            <c:bubble3D val="0"/>
            <c:spPr>
              <a:solidFill>
                <a:schemeClr val="accent4"/>
              </a:solidFill>
            </c:spPr>
            <c:extLst>
              <c:ext xmlns:c16="http://schemas.microsoft.com/office/drawing/2014/chart" uri="{C3380CC4-5D6E-409C-BE32-E72D297353CC}">
                <c16:uniqueId val="{00000007-BFF8-A744-9D7F-EB889273DAA7}"/>
              </c:ext>
            </c:extLst>
          </c:dPt>
          <c:dPt>
            <c:idx val="4"/>
            <c:bubble3D val="0"/>
            <c:spPr>
              <a:solidFill>
                <a:schemeClr val="accent5"/>
              </a:solidFill>
            </c:spPr>
            <c:extLst>
              <c:ext xmlns:c16="http://schemas.microsoft.com/office/drawing/2014/chart" uri="{C3380CC4-5D6E-409C-BE32-E72D297353CC}">
                <c16:uniqueId val="{00000009-BFF8-A744-9D7F-EB889273DAA7}"/>
              </c:ext>
            </c:extLst>
          </c:dPt>
          <c:dPt>
            <c:idx val="5"/>
            <c:bubble3D val="0"/>
            <c:spPr>
              <a:solidFill>
                <a:schemeClr val="accent6"/>
              </a:solidFill>
            </c:spPr>
            <c:extLst>
              <c:ext xmlns:c16="http://schemas.microsoft.com/office/drawing/2014/chart" uri="{C3380CC4-5D6E-409C-BE32-E72D297353CC}">
                <c16:uniqueId val="{0000000B-BFF8-A744-9D7F-EB889273DAA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'4- VEHICULES UTILITAIRES'!$J$122:$J$127</c:f>
              <c:strCache>
                <c:ptCount val="6"/>
                <c:pt idx="0">
                  <c:v>Camionette</c:v>
                </c:pt>
                <c:pt idx="1">
                  <c:v>Camion &lt;7t</c:v>
                </c:pt>
                <c:pt idx="2">
                  <c:v>Camion &gt;7t</c:v>
                </c:pt>
                <c:pt idx="3">
                  <c:v>Fret - avion</c:v>
                </c:pt>
                <c:pt idx="4">
                  <c:v>Fret - train</c:v>
                </c:pt>
                <c:pt idx="5">
                  <c:v>Fret - bateau</c:v>
                </c:pt>
              </c:strCache>
            </c:strRef>
          </c:cat>
          <c:val>
            <c:numRef>
              <c:f>'4- VEHICULES UTILITAIRES'!$L$122:$L$127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FF8-A744-9D7F-EB889273DAA7}"/>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chemeClr val="dk1"/>
              </a:solidFill>
              <a:latin typeface="+mn-lt"/>
            </a:defRPr>
          </a:pPr>
          <a:endParaRPr lang="fr-FR"/>
        </a:p>
      </c:txPr>
    </c:legend>
    <c:plotVisOnly val="1"/>
    <c:dispBlanksAs val="zero"/>
    <c:showDLblsOverMax val="1"/>
  </c:chart>
  <c:spPr>
    <a:solidFill>
      <a:schemeClr val="lt1"/>
    </a:solidFill>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chart" Target="../charts/chart5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chart" Target="../charts/chart60.xml"/><Relationship Id="rId5" Type="http://schemas.openxmlformats.org/officeDocument/2006/relationships/image" Target="../media/image8.png"/><Relationship Id="rId4"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5" Type="http://schemas.openxmlformats.org/officeDocument/2006/relationships/chart" Target="../charts/chart65.xml"/><Relationship Id="rId4" Type="http://schemas.openxmlformats.org/officeDocument/2006/relationships/chart" Target="../charts/chart6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editAs="oneCell">
    <xdr:from>
      <xdr:col>3</xdr:col>
      <xdr:colOff>381001</xdr:colOff>
      <xdr:row>0</xdr:row>
      <xdr:rowOff>1</xdr:rowOff>
    </xdr:from>
    <xdr:to>
      <xdr:col>3</xdr:col>
      <xdr:colOff>2590801</xdr:colOff>
      <xdr:row>0</xdr:row>
      <xdr:rowOff>1562231</xdr:rowOff>
    </xdr:to>
    <xdr:pic>
      <xdr:nvPicPr>
        <xdr:cNvPr id="3" name="Image 2">
          <a:extLst>
            <a:ext uri="{FF2B5EF4-FFF2-40B4-BE49-F238E27FC236}">
              <a16:creationId xmlns:a16="http://schemas.microsoft.com/office/drawing/2014/main" id="{C467C8A3-E383-5F8B-9233-0476A02E7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1" y="1"/>
          <a:ext cx="2209800" cy="1562230"/>
        </a:xfrm>
        <a:prstGeom prst="rect">
          <a:avLst/>
        </a:prstGeom>
      </xdr:spPr>
    </xdr:pic>
    <xdr:clientData/>
  </xdr:twoCellAnchor>
  <xdr:twoCellAnchor editAs="oneCell">
    <xdr:from>
      <xdr:col>4</xdr:col>
      <xdr:colOff>1457325</xdr:colOff>
      <xdr:row>0</xdr:row>
      <xdr:rowOff>1166577</xdr:rowOff>
    </xdr:from>
    <xdr:to>
      <xdr:col>4</xdr:col>
      <xdr:colOff>2735657</xdr:colOff>
      <xdr:row>0</xdr:row>
      <xdr:rowOff>1562100</xdr:rowOff>
    </xdr:to>
    <xdr:pic>
      <xdr:nvPicPr>
        <xdr:cNvPr id="8" name="Image 7" descr="Ecoprod - L'éco-production au service du cinéma et de l'audiovisuel">
          <a:extLst>
            <a:ext uri="{FF2B5EF4-FFF2-40B4-BE49-F238E27FC236}">
              <a16:creationId xmlns:a16="http://schemas.microsoft.com/office/drawing/2014/main" id="{01EF7949-35D6-2127-079F-E422F3C834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2725" y="1166577"/>
          <a:ext cx="1278332" cy="395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0</xdr:row>
      <xdr:rowOff>209550</xdr:rowOff>
    </xdr:from>
    <xdr:to>
      <xdr:col>4</xdr:col>
      <xdr:colOff>1530620</xdr:colOff>
      <xdr:row>0</xdr:row>
      <xdr:rowOff>1409699</xdr:rowOff>
    </xdr:to>
    <xdr:pic>
      <xdr:nvPicPr>
        <xdr:cNvPr id="7" name="Image 6" descr="Ecoprod - L'éco-production au service du cinéma et de l'audiovisuel">
          <a:extLst>
            <a:ext uri="{FF2B5EF4-FFF2-40B4-BE49-F238E27FC236}">
              <a16:creationId xmlns:a16="http://schemas.microsoft.com/office/drawing/2014/main" id="{7E81B16D-5948-4A0B-BED8-CD0C325900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19725" y="209550"/>
          <a:ext cx="1216295" cy="1200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4</xdr:col>
      <xdr:colOff>304800</xdr:colOff>
      <xdr:row>0</xdr:row>
      <xdr:rowOff>304800</xdr:rowOff>
    </xdr:to>
    <xdr:sp macro="" textlink="">
      <xdr:nvSpPr>
        <xdr:cNvPr id="18438" name="AutoShape 6" descr="Ecoprod">
          <a:extLst>
            <a:ext uri="{FF2B5EF4-FFF2-40B4-BE49-F238E27FC236}">
              <a16:creationId xmlns:a16="http://schemas.microsoft.com/office/drawing/2014/main" id="{F1C3547E-40E4-2880-8836-B4EA837B56B6}"/>
            </a:ext>
          </a:extLst>
        </xdr:cNvPr>
        <xdr:cNvSpPr>
          <a:spLocks noChangeAspect="1" noChangeArrowheads="1"/>
        </xdr:cNvSpPr>
      </xdr:nvSpPr>
      <xdr:spPr bwMode="auto">
        <a:xfrm>
          <a:off x="51054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304800</xdr:rowOff>
    </xdr:to>
    <xdr:sp macro="" textlink="">
      <xdr:nvSpPr>
        <xdr:cNvPr id="18439" name="AutoShape 7" descr="Ecoprod">
          <a:extLst>
            <a:ext uri="{FF2B5EF4-FFF2-40B4-BE49-F238E27FC236}">
              <a16:creationId xmlns:a16="http://schemas.microsoft.com/office/drawing/2014/main" id="{CEEE315F-3805-444B-4A6B-DF42DF35AF9F}"/>
            </a:ext>
          </a:extLst>
        </xdr:cNvPr>
        <xdr:cNvSpPr>
          <a:spLocks noChangeAspect="1" noChangeArrowheads="1"/>
        </xdr:cNvSpPr>
      </xdr:nvSpPr>
      <xdr:spPr bwMode="auto">
        <a:xfrm>
          <a:off x="7886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304800</xdr:rowOff>
    </xdr:to>
    <xdr:sp macro="" textlink="">
      <xdr:nvSpPr>
        <xdr:cNvPr id="18440" name="AutoShape 8" descr="Ecoprod">
          <a:extLst>
            <a:ext uri="{FF2B5EF4-FFF2-40B4-BE49-F238E27FC236}">
              <a16:creationId xmlns:a16="http://schemas.microsoft.com/office/drawing/2014/main" id="{2BA09EFE-46FE-C8E2-CC6E-E55367D71624}"/>
            </a:ext>
          </a:extLst>
        </xdr:cNvPr>
        <xdr:cNvSpPr>
          <a:spLocks noChangeAspect="1" noChangeArrowheads="1"/>
        </xdr:cNvSpPr>
      </xdr:nvSpPr>
      <xdr:spPr bwMode="auto">
        <a:xfrm>
          <a:off x="7886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304800</xdr:rowOff>
    </xdr:to>
    <xdr:sp macro="" textlink="">
      <xdr:nvSpPr>
        <xdr:cNvPr id="18441" name="AutoShape 9" descr="Ecoprod">
          <a:extLst>
            <a:ext uri="{FF2B5EF4-FFF2-40B4-BE49-F238E27FC236}">
              <a16:creationId xmlns:a16="http://schemas.microsoft.com/office/drawing/2014/main" id="{F949255A-2427-AF98-FCD2-71C32C8AEF85}"/>
            </a:ext>
          </a:extLst>
        </xdr:cNvPr>
        <xdr:cNvSpPr>
          <a:spLocks noChangeAspect="1" noChangeArrowheads="1"/>
        </xdr:cNvSpPr>
      </xdr:nvSpPr>
      <xdr:spPr bwMode="auto">
        <a:xfrm>
          <a:off x="7886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9</xdr:col>
      <xdr:colOff>95250</xdr:colOff>
      <xdr:row>71</xdr:row>
      <xdr:rowOff>38100</xdr:rowOff>
    </xdr:from>
    <xdr:ext cx="5876925" cy="4972050"/>
    <xdr:graphicFrame macro="">
      <xdr:nvGraphicFramePr>
        <xdr:cNvPr id="458877680" name="Chart 56">
          <a:extLst>
            <a:ext uri="{FF2B5EF4-FFF2-40B4-BE49-F238E27FC236}">
              <a16:creationId xmlns:a16="http://schemas.microsoft.com/office/drawing/2014/main" id="{00000000-0008-0000-0900-0000F0EA59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133350</xdr:colOff>
      <xdr:row>256</xdr:row>
      <xdr:rowOff>28575</xdr:rowOff>
    </xdr:from>
    <xdr:ext cx="5086350" cy="3362325"/>
    <xdr:graphicFrame macro="">
      <xdr:nvGraphicFramePr>
        <xdr:cNvPr id="2114152772" name="Chart 57">
          <a:extLst>
            <a:ext uri="{FF2B5EF4-FFF2-40B4-BE49-F238E27FC236}">
              <a16:creationId xmlns:a16="http://schemas.microsoft.com/office/drawing/2014/main" id="{00000000-0008-0000-0A00-0000446903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2543175</xdr:colOff>
      <xdr:row>256</xdr:row>
      <xdr:rowOff>19050</xdr:rowOff>
    </xdr:from>
    <xdr:ext cx="5410200" cy="3362325"/>
    <xdr:graphicFrame macro="">
      <xdr:nvGraphicFramePr>
        <xdr:cNvPr id="1533894143" name="Chart 58">
          <a:extLst>
            <a:ext uri="{FF2B5EF4-FFF2-40B4-BE49-F238E27FC236}">
              <a16:creationId xmlns:a16="http://schemas.microsoft.com/office/drawing/2014/main" id="{00000000-0008-0000-0A00-0000FF5D6D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133350</xdr:colOff>
      <xdr:row>274</xdr:row>
      <xdr:rowOff>19050</xdr:rowOff>
    </xdr:from>
    <xdr:ext cx="5086350" cy="3352800"/>
    <xdr:graphicFrame macro="">
      <xdr:nvGraphicFramePr>
        <xdr:cNvPr id="1034763739" name="Chart 59">
          <a:extLst>
            <a:ext uri="{FF2B5EF4-FFF2-40B4-BE49-F238E27FC236}">
              <a16:creationId xmlns:a16="http://schemas.microsoft.com/office/drawing/2014/main" id="{00000000-0008-0000-0A00-0000DB3DAD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xdr:col>
      <xdr:colOff>2562225</xdr:colOff>
      <xdr:row>274</xdr:row>
      <xdr:rowOff>28575</xdr:rowOff>
    </xdr:from>
    <xdr:ext cx="5410200" cy="3352800"/>
    <xdr:graphicFrame macro="">
      <xdr:nvGraphicFramePr>
        <xdr:cNvPr id="1507550432" name="Chart 60" title="Graphique">
          <a:extLst>
            <a:ext uri="{FF2B5EF4-FFF2-40B4-BE49-F238E27FC236}">
              <a16:creationId xmlns:a16="http://schemas.microsoft.com/office/drawing/2014/main" id="{00000000-0008-0000-0A00-0000E064DB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2076450</xdr:colOff>
      <xdr:row>53</xdr:row>
      <xdr:rowOff>0</xdr:rowOff>
    </xdr:from>
    <xdr:ext cx="5581650" cy="3181350"/>
    <xdr:graphicFrame macro="">
      <xdr:nvGraphicFramePr>
        <xdr:cNvPr id="2113378172" name="Chart 61">
          <a:extLst>
            <a:ext uri="{FF2B5EF4-FFF2-40B4-BE49-F238E27FC236}">
              <a16:creationId xmlns:a16="http://schemas.microsoft.com/office/drawing/2014/main" id="{00000000-0008-0000-0B00-00007C97F7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504825</xdr:colOff>
      <xdr:row>7</xdr:row>
      <xdr:rowOff>0</xdr:rowOff>
    </xdr:from>
    <xdr:ext cx="142875" cy="161925"/>
    <xdr:sp macro="" textlink="">
      <xdr:nvSpPr>
        <xdr:cNvPr id="5" name="Shape 5">
          <a:extLst>
            <a:ext uri="{FF2B5EF4-FFF2-40B4-BE49-F238E27FC236}">
              <a16:creationId xmlns:a16="http://schemas.microsoft.com/office/drawing/2014/main" id="{00000000-0008-0000-0B00-000005000000}"/>
            </a:ext>
          </a:extLst>
        </xdr:cNvPr>
        <xdr:cNvSpPr/>
      </xdr:nvSpPr>
      <xdr:spPr>
        <a:xfrm rot="10800000">
          <a:off x="5279325" y="3708563"/>
          <a:ext cx="133350" cy="142875"/>
        </a:xfrm>
        <a:prstGeom prst="rtTriangle">
          <a:avLst/>
        </a:prstGeom>
        <a:solidFill>
          <a:srgbClr val="FF4940"/>
        </a:solidFill>
        <a:ln w="12700" cap="flat" cmpd="sng">
          <a:solidFill>
            <a:srgbClr val="1C305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7</xdr:col>
      <xdr:colOff>9525</xdr:colOff>
      <xdr:row>11</xdr:row>
      <xdr:rowOff>47625</xdr:rowOff>
    </xdr:from>
    <xdr:ext cx="7096125" cy="1476375"/>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9525</xdr:colOff>
      <xdr:row>17</xdr:row>
      <xdr:rowOff>57150</xdr:rowOff>
    </xdr:from>
    <xdr:ext cx="5486400" cy="1905000"/>
    <xdr:pic>
      <xdr:nvPicPr>
        <xdr:cNvPr id="3" name="image3.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9525</xdr:colOff>
      <xdr:row>28</xdr:row>
      <xdr:rowOff>28575</xdr:rowOff>
    </xdr:from>
    <xdr:ext cx="6791325" cy="2324100"/>
    <xdr:pic>
      <xdr:nvPicPr>
        <xdr:cNvPr id="4" name="image4.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9525</xdr:colOff>
      <xdr:row>41</xdr:row>
      <xdr:rowOff>47625</xdr:rowOff>
    </xdr:from>
    <xdr:ext cx="5429250" cy="1533525"/>
    <xdr:pic>
      <xdr:nvPicPr>
        <xdr:cNvPr id="6" name="image2.png">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80</xdr:row>
      <xdr:rowOff>123825</xdr:rowOff>
    </xdr:from>
    <xdr:ext cx="0" cy="3267075"/>
    <xdr:graphicFrame macro="">
      <xdr:nvGraphicFramePr>
        <xdr:cNvPr id="1126037870" name="Chart 62">
          <a:extLst>
            <a:ext uri="{FF2B5EF4-FFF2-40B4-BE49-F238E27FC236}">
              <a16:creationId xmlns:a16="http://schemas.microsoft.com/office/drawing/2014/main" id="{00000000-0008-0000-0D00-00006EF91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95250</xdr:colOff>
      <xdr:row>98</xdr:row>
      <xdr:rowOff>9525</xdr:rowOff>
    </xdr:from>
    <xdr:ext cx="12925425" cy="4781550"/>
    <xdr:graphicFrame macro="">
      <xdr:nvGraphicFramePr>
        <xdr:cNvPr id="195917500" name="Chart 63">
          <a:extLst>
            <a:ext uri="{FF2B5EF4-FFF2-40B4-BE49-F238E27FC236}">
              <a16:creationId xmlns:a16="http://schemas.microsoft.com/office/drawing/2014/main" id="{00000000-0008-0000-0D00-0000BC76AD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xdr:col>
      <xdr:colOff>190500</xdr:colOff>
      <xdr:row>98</xdr:row>
      <xdr:rowOff>0</xdr:rowOff>
    </xdr:from>
    <xdr:ext cx="6648450" cy="4800600"/>
    <xdr:graphicFrame macro="">
      <xdr:nvGraphicFramePr>
        <xdr:cNvPr id="1118762559" name="Chart 64">
          <a:extLst>
            <a:ext uri="{FF2B5EF4-FFF2-40B4-BE49-F238E27FC236}">
              <a16:creationId xmlns:a16="http://schemas.microsoft.com/office/drawing/2014/main" id="{00000000-0008-0000-0D00-00003FF6AE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47625</xdr:colOff>
      <xdr:row>35</xdr:row>
      <xdr:rowOff>190500</xdr:rowOff>
    </xdr:from>
    <xdr:ext cx="6267450" cy="3019425"/>
    <xdr:graphicFrame macro="">
      <xdr:nvGraphicFramePr>
        <xdr:cNvPr id="1706473484" name="Chart 65">
          <a:extLst>
            <a:ext uri="{FF2B5EF4-FFF2-40B4-BE49-F238E27FC236}">
              <a16:creationId xmlns:a16="http://schemas.microsoft.com/office/drawing/2014/main" id="{00000000-0008-0000-0D00-00000CB8B6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3</xdr:col>
      <xdr:colOff>3543300</xdr:colOff>
      <xdr:row>35</xdr:row>
      <xdr:rowOff>190500</xdr:rowOff>
    </xdr:from>
    <xdr:ext cx="6848475" cy="3019425"/>
    <xdr:graphicFrame macro="">
      <xdr:nvGraphicFramePr>
        <xdr:cNvPr id="648338208" name="Chart 66">
          <a:extLst>
            <a:ext uri="{FF2B5EF4-FFF2-40B4-BE49-F238E27FC236}">
              <a16:creationId xmlns:a16="http://schemas.microsoft.com/office/drawing/2014/main" id="{00000000-0008-0000-0D00-000020DBA4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95250</xdr:colOff>
      <xdr:row>70</xdr:row>
      <xdr:rowOff>79375</xdr:rowOff>
    </xdr:from>
    <xdr:ext cx="4562475" cy="2524125"/>
    <xdr:graphicFrame macro="">
      <xdr:nvGraphicFramePr>
        <xdr:cNvPr id="580207049" name="Chart 67">
          <a:extLst>
            <a:ext uri="{FF2B5EF4-FFF2-40B4-BE49-F238E27FC236}">
              <a16:creationId xmlns:a16="http://schemas.microsoft.com/office/drawing/2014/main" id="{00000000-0008-0000-0F00-0000C94195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66675</xdr:colOff>
      <xdr:row>84</xdr:row>
      <xdr:rowOff>28575</xdr:rowOff>
    </xdr:from>
    <xdr:ext cx="4562475" cy="2571750"/>
    <xdr:graphicFrame macro="">
      <xdr:nvGraphicFramePr>
        <xdr:cNvPr id="1234679677" name="Chart 68">
          <a:extLst>
            <a:ext uri="{FF2B5EF4-FFF2-40B4-BE49-F238E27FC236}">
              <a16:creationId xmlns:a16="http://schemas.microsoft.com/office/drawing/2014/main" id="{00000000-0008-0000-0F00-00007DB797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685800</xdr:colOff>
      <xdr:row>72</xdr:row>
      <xdr:rowOff>19050</xdr:rowOff>
    </xdr:from>
    <xdr:ext cx="5743575" cy="3162300"/>
    <xdr:graphicFrame macro="">
      <xdr:nvGraphicFramePr>
        <xdr:cNvPr id="332675280" name="Chart 69">
          <a:extLst>
            <a:ext uri="{FF2B5EF4-FFF2-40B4-BE49-F238E27FC236}">
              <a16:creationId xmlns:a16="http://schemas.microsoft.com/office/drawing/2014/main" id="{00000000-0008-0000-0F00-0000D038D4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28575</xdr:colOff>
      <xdr:row>19</xdr:row>
      <xdr:rowOff>28575</xdr:rowOff>
    </xdr:from>
    <xdr:ext cx="5934075" cy="3114675"/>
    <xdr:graphicFrame macro="">
      <xdr:nvGraphicFramePr>
        <xdr:cNvPr id="1179521786" name="Chart 70">
          <a:extLst>
            <a:ext uri="{FF2B5EF4-FFF2-40B4-BE49-F238E27FC236}">
              <a16:creationId xmlns:a16="http://schemas.microsoft.com/office/drawing/2014/main" id="{00000000-0008-0000-1000-0000FA124E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xdr:colOff>
      <xdr:row>63</xdr:row>
      <xdr:rowOff>0</xdr:rowOff>
    </xdr:from>
    <xdr:ext cx="7181850" cy="3752850"/>
    <xdr:graphicFrame macro="">
      <xdr:nvGraphicFramePr>
        <xdr:cNvPr id="514483300" name="Chart 71">
          <a:extLst>
            <a:ext uri="{FF2B5EF4-FFF2-40B4-BE49-F238E27FC236}">
              <a16:creationId xmlns:a16="http://schemas.microsoft.com/office/drawing/2014/main" id="{00000000-0008-0000-1000-00006464AA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1476375</xdr:colOff>
      <xdr:row>72</xdr:row>
      <xdr:rowOff>9525</xdr:rowOff>
    </xdr:from>
    <xdr:ext cx="7391400" cy="3905250"/>
    <xdr:graphicFrame macro="">
      <xdr:nvGraphicFramePr>
        <xdr:cNvPr id="906310557" name="Chart 72">
          <a:extLst>
            <a:ext uri="{FF2B5EF4-FFF2-40B4-BE49-F238E27FC236}">
              <a16:creationId xmlns:a16="http://schemas.microsoft.com/office/drawing/2014/main" id="{00000000-0008-0000-1000-00009D3305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504825</xdr:colOff>
      <xdr:row>38</xdr:row>
      <xdr:rowOff>0</xdr:rowOff>
    </xdr:from>
    <xdr:ext cx="142875" cy="161925"/>
    <xdr:sp macro="" textlink="">
      <xdr:nvSpPr>
        <xdr:cNvPr id="5" name="Shape 5">
          <a:extLst>
            <a:ext uri="{FF2B5EF4-FFF2-40B4-BE49-F238E27FC236}">
              <a16:creationId xmlns:a16="http://schemas.microsoft.com/office/drawing/2014/main" id="{00000000-0008-0000-1000-000005000000}"/>
            </a:ext>
          </a:extLst>
        </xdr:cNvPr>
        <xdr:cNvSpPr/>
      </xdr:nvSpPr>
      <xdr:spPr>
        <a:xfrm rot="10800000">
          <a:off x="5279325" y="3708563"/>
          <a:ext cx="133350" cy="142875"/>
        </a:xfrm>
        <a:prstGeom prst="rtTriangle">
          <a:avLst/>
        </a:prstGeom>
        <a:solidFill>
          <a:srgbClr val="FF4940"/>
        </a:solidFill>
        <a:ln w="12700" cap="flat" cmpd="sng">
          <a:solidFill>
            <a:srgbClr val="1C305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10</xdr:col>
      <xdr:colOff>771525</xdr:colOff>
      <xdr:row>39</xdr:row>
      <xdr:rowOff>209550</xdr:rowOff>
    </xdr:from>
    <xdr:ext cx="8801100" cy="4343400"/>
    <xdr:pic>
      <xdr:nvPicPr>
        <xdr:cNvPr id="2" name="image6.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9525</xdr:colOff>
      <xdr:row>372</xdr:row>
      <xdr:rowOff>9525</xdr:rowOff>
    </xdr:from>
    <xdr:ext cx="6543675" cy="3590925"/>
    <xdr:graphicFrame macro="">
      <xdr:nvGraphicFramePr>
        <xdr:cNvPr id="541543065" name="Chart 1">
          <a:extLst>
            <a:ext uri="{FF2B5EF4-FFF2-40B4-BE49-F238E27FC236}">
              <a16:creationId xmlns:a16="http://schemas.microsoft.com/office/drawing/2014/main" id="{00000000-0008-0000-0100-0000994A47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247650</xdr:colOff>
      <xdr:row>372</xdr:row>
      <xdr:rowOff>19050</xdr:rowOff>
    </xdr:from>
    <xdr:ext cx="6391275" cy="3571875"/>
    <xdr:graphicFrame macro="">
      <xdr:nvGraphicFramePr>
        <xdr:cNvPr id="772220920" name="Chart 2">
          <a:extLst>
            <a:ext uri="{FF2B5EF4-FFF2-40B4-BE49-F238E27FC236}">
              <a16:creationId xmlns:a16="http://schemas.microsoft.com/office/drawing/2014/main" id="{00000000-0008-0000-0100-0000F82707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447675</xdr:colOff>
      <xdr:row>19</xdr:row>
      <xdr:rowOff>9525</xdr:rowOff>
    </xdr:from>
    <xdr:ext cx="5819775" cy="4124325"/>
    <xdr:graphicFrame macro="">
      <xdr:nvGraphicFramePr>
        <xdr:cNvPr id="329877805" name="Chart 3">
          <a:extLst>
            <a:ext uri="{FF2B5EF4-FFF2-40B4-BE49-F238E27FC236}">
              <a16:creationId xmlns:a16="http://schemas.microsoft.com/office/drawing/2014/main" id="{00000000-0008-0000-0100-00002D89A9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5</xdr:col>
      <xdr:colOff>1371600</xdr:colOff>
      <xdr:row>19</xdr:row>
      <xdr:rowOff>0</xdr:rowOff>
    </xdr:from>
    <xdr:ext cx="6772275" cy="3600450"/>
    <xdr:graphicFrame macro="">
      <xdr:nvGraphicFramePr>
        <xdr:cNvPr id="273616197" name="Chart 4">
          <a:extLst>
            <a:ext uri="{FF2B5EF4-FFF2-40B4-BE49-F238E27FC236}">
              <a16:creationId xmlns:a16="http://schemas.microsoft.com/office/drawing/2014/main" id="{00000000-0008-0000-0100-0000450D4F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57150</xdr:colOff>
      <xdr:row>44</xdr:row>
      <xdr:rowOff>190500</xdr:rowOff>
    </xdr:from>
    <xdr:ext cx="4095750" cy="3609975"/>
    <xdr:graphicFrame macro="">
      <xdr:nvGraphicFramePr>
        <xdr:cNvPr id="1398788346" name="Chart 5">
          <a:extLst>
            <a:ext uri="{FF2B5EF4-FFF2-40B4-BE49-F238E27FC236}">
              <a16:creationId xmlns:a16="http://schemas.microsoft.com/office/drawing/2014/main" id="{00000000-0008-0000-0100-0000FAD05F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3</xdr:col>
      <xdr:colOff>866775</xdr:colOff>
      <xdr:row>44</xdr:row>
      <xdr:rowOff>161925</xdr:rowOff>
    </xdr:from>
    <xdr:ext cx="5448300" cy="3609975"/>
    <xdr:graphicFrame macro="">
      <xdr:nvGraphicFramePr>
        <xdr:cNvPr id="1806083506" name="Chart 6">
          <a:extLst>
            <a:ext uri="{FF2B5EF4-FFF2-40B4-BE49-F238E27FC236}">
              <a16:creationId xmlns:a16="http://schemas.microsoft.com/office/drawing/2014/main" id="{00000000-0008-0000-0100-0000B2A5A6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7</xdr:col>
      <xdr:colOff>1247775</xdr:colOff>
      <xdr:row>45</xdr:row>
      <xdr:rowOff>9525</xdr:rowOff>
    </xdr:from>
    <xdr:ext cx="4591050" cy="3514725"/>
    <xdr:graphicFrame macro="">
      <xdr:nvGraphicFramePr>
        <xdr:cNvPr id="2122772632" name="Chart 7">
          <a:extLst>
            <a:ext uri="{FF2B5EF4-FFF2-40B4-BE49-F238E27FC236}">
              <a16:creationId xmlns:a16="http://schemas.microsoft.com/office/drawing/2014/main" id="{00000000-0008-0000-0100-000098F086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19050</xdr:colOff>
      <xdr:row>69</xdr:row>
      <xdr:rowOff>28575</xdr:rowOff>
    </xdr:from>
    <xdr:ext cx="4572000" cy="4105275"/>
    <xdr:graphicFrame macro="">
      <xdr:nvGraphicFramePr>
        <xdr:cNvPr id="1120792493" name="Chart 8">
          <a:extLst>
            <a:ext uri="{FF2B5EF4-FFF2-40B4-BE49-F238E27FC236}">
              <a16:creationId xmlns:a16="http://schemas.microsoft.com/office/drawing/2014/main" id="{00000000-0008-0000-0100-0000ADEFCD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3</xdr:col>
      <xdr:colOff>1057275</xdr:colOff>
      <xdr:row>69</xdr:row>
      <xdr:rowOff>9525</xdr:rowOff>
    </xdr:from>
    <xdr:ext cx="5229225" cy="4162425"/>
    <xdr:graphicFrame macro="">
      <xdr:nvGraphicFramePr>
        <xdr:cNvPr id="1376065579" name="Chart 9">
          <a:extLst>
            <a:ext uri="{FF2B5EF4-FFF2-40B4-BE49-F238E27FC236}">
              <a16:creationId xmlns:a16="http://schemas.microsoft.com/office/drawing/2014/main" id="{00000000-0008-0000-0100-00002B1805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7</xdr:col>
      <xdr:colOff>1171575</xdr:colOff>
      <xdr:row>69</xdr:row>
      <xdr:rowOff>28575</xdr:rowOff>
    </xdr:from>
    <xdr:ext cx="4686300" cy="3743325"/>
    <xdr:graphicFrame macro="">
      <xdr:nvGraphicFramePr>
        <xdr:cNvPr id="1490271705" name="Chart 10">
          <a:extLst>
            <a:ext uri="{FF2B5EF4-FFF2-40B4-BE49-F238E27FC236}">
              <a16:creationId xmlns:a16="http://schemas.microsoft.com/office/drawing/2014/main" id="{00000000-0008-0000-0100-0000D9BDD3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3</xdr:col>
      <xdr:colOff>28575</xdr:colOff>
      <xdr:row>95</xdr:row>
      <xdr:rowOff>123825</xdr:rowOff>
    </xdr:from>
    <xdr:ext cx="6772275" cy="5829300"/>
    <xdr:graphicFrame macro="">
      <xdr:nvGraphicFramePr>
        <xdr:cNvPr id="1378931545" name="Chart 11">
          <a:extLst>
            <a:ext uri="{FF2B5EF4-FFF2-40B4-BE49-F238E27FC236}">
              <a16:creationId xmlns:a16="http://schemas.microsoft.com/office/drawing/2014/main" id="{00000000-0008-0000-0100-000059D330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130</xdr:row>
      <xdr:rowOff>0</xdr:rowOff>
    </xdr:from>
    <xdr:ext cx="4324350" cy="4200525"/>
    <xdr:graphicFrame macro="">
      <xdr:nvGraphicFramePr>
        <xdr:cNvPr id="253761858" name="Chart 12">
          <a:extLst>
            <a:ext uri="{FF2B5EF4-FFF2-40B4-BE49-F238E27FC236}">
              <a16:creationId xmlns:a16="http://schemas.microsoft.com/office/drawing/2014/main" id="{00000000-0008-0000-0100-0000421920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7</xdr:col>
      <xdr:colOff>752475</xdr:colOff>
      <xdr:row>130</xdr:row>
      <xdr:rowOff>28575</xdr:rowOff>
    </xdr:from>
    <xdr:ext cx="5057775" cy="4152900"/>
    <xdr:graphicFrame macro="">
      <xdr:nvGraphicFramePr>
        <xdr:cNvPr id="631210513" name="Chart 13">
          <a:extLst>
            <a:ext uri="{FF2B5EF4-FFF2-40B4-BE49-F238E27FC236}">
              <a16:creationId xmlns:a16="http://schemas.microsoft.com/office/drawing/2014/main" id="{00000000-0008-0000-0100-000011829F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3</xdr:col>
      <xdr:colOff>866775</xdr:colOff>
      <xdr:row>130</xdr:row>
      <xdr:rowOff>0</xdr:rowOff>
    </xdr:from>
    <xdr:ext cx="5029200" cy="4200525"/>
    <xdr:graphicFrame macro="">
      <xdr:nvGraphicFramePr>
        <xdr:cNvPr id="1670657098" name="Chart 14">
          <a:extLst>
            <a:ext uri="{FF2B5EF4-FFF2-40B4-BE49-F238E27FC236}">
              <a16:creationId xmlns:a16="http://schemas.microsoft.com/office/drawing/2014/main" id="{00000000-0008-0000-0100-00004A3494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19050</xdr:colOff>
      <xdr:row>155</xdr:row>
      <xdr:rowOff>66675</xdr:rowOff>
    </xdr:from>
    <xdr:ext cx="4800600" cy="3933825"/>
    <xdr:graphicFrame macro="">
      <xdr:nvGraphicFramePr>
        <xdr:cNvPr id="1015152446" name="Chart 15">
          <a:extLst>
            <a:ext uri="{FF2B5EF4-FFF2-40B4-BE49-F238E27FC236}">
              <a16:creationId xmlns:a16="http://schemas.microsoft.com/office/drawing/2014/main" id="{00000000-0008-0000-0100-00003EFF81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3</xdr:col>
      <xdr:colOff>990600</xdr:colOff>
      <xdr:row>155</xdr:row>
      <xdr:rowOff>47625</xdr:rowOff>
    </xdr:from>
    <xdr:ext cx="5143500" cy="3943350"/>
    <xdr:graphicFrame macro="">
      <xdr:nvGraphicFramePr>
        <xdr:cNvPr id="248705533" name="Chart 16">
          <a:extLst>
            <a:ext uri="{FF2B5EF4-FFF2-40B4-BE49-F238E27FC236}">
              <a16:creationId xmlns:a16="http://schemas.microsoft.com/office/drawing/2014/main" id="{00000000-0008-0000-0100-0000FDF1D2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7</xdr:col>
      <xdr:colOff>752475</xdr:colOff>
      <xdr:row>155</xdr:row>
      <xdr:rowOff>57150</xdr:rowOff>
    </xdr:from>
    <xdr:ext cx="5095875" cy="3933825"/>
    <xdr:graphicFrame macro="">
      <xdr:nvGraphicFramePr>
        <xdr:cNvPr id="1248807233" name="Chart 17">
          <a:extLst>
            <a:ext uri="{FF2B5EF4-FFF2-40B4-BE49-F238E27FC236}">
              <a16:creationId xmlns:a16="http://schemas.microsoft.com/office/drawing/2014/main" id="{00000000-0008-0000-0100-000041496F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5</xdr:col>
      <xdr:colOff>723900</xdr:colOff>
      <xdr:row>179</xdr:row>
      <xdr:rowOff>19050</xdr:rowOff>
    </xdr:from>
    <xdr:ext cx="7419975" cy="4562475"/>
    <xdr:graphicFrame macro="">
      <xdr:nvGraphicFramePr>
        <xdr:cNvPr id="699605921" name="Chart 18">
          <a:extLst>
            <a:ext uri="{FF2B5EF4-FFF2-40B4-BE49-F238E27FC236}">
              <a16:creationId xmlns:a16="http://schemas.microsoft.com/office/drawing/2014/main" id="{00000000-0008-0000-0100-0000A123B3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0</xdr:colOff>
      <xdr:row>179</xdr:row>
      <xdr:rowOff>19050</xdr:rowOff>
    </xdr:from>
    <xdr:ext cx="7705725" cy="4962525"/>
    <xdr:graphicFrame macro="">
      <xdr:nvGraphicFramePr>
        <xdr:cNvPr id="493362696" name="Chart 19">
          <a:extLst>
            <a:ext uri="{FF2B5EF4-FFF2-40B4-BE49-F238E27FC236}">
              <a16:creationId xmlns:a16="http://schemas.microsoft.com/office/drawing/2014/main" id="{00000000-0008-0000-0100-0000081E68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2</xdr:col>
      <xdr:colOff>0</xdr:colOff>
      <xdr:row>208</xdr:row>
      <xdr:rowOff>19050</xdr:rowOff>
    </xdr:from>
    <xdr:ext cx="10220325" cy="6143625"/>
    <xdr:graphicFrame macro="">
      <xdr:nvGraphicFramePr>
        <xdr:cNvPr id="1955381119" name="Chart 20">
          <a:extLst>
            <a:ext uri="{FF2B5EF4-FFF2-40B4-BE49-F238E27FC236}">
              <a16:creationId xmlns:a16="http://schemas.microsoft.com/office/drawing/2014/main" id="{00000000-0008-0000-0100-00007FBF8C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245</xdr:row>
      <xdr:rowOff>0</xdr:rowOff>
    </xdr:from>
    <xdr:ext cx="4991100" cy="3343275"/>
    <xdr:graphicFrame macro="">
      <xdr:nvGraphicFramePr>
        <xdr:cNvPr id="1901828706" name="Chart 21">
          <a:extLst>
            <a:ext uri="{FF2B5EF4-FFF2-40B4-BE49-F238E27FC236}">
              <a16:creationId xmlns:a16="http://schemas.microsoft.com/office/drawing/2014/main" id="{00000000-0008-0000-0100-0000629A5B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3</xdr:col>
      <xdr:colOff>1200150</xdr:colOff>
      <xdr:row>245</xdr:row>
      <xdr:rowOff>0</xdr:rowOff>
    </xdr:from>
    <xdr:ext cx="5200650" cy="3343275"/>
    <xdr:graphicFrame macro="">
      <xdr:nvGraphicFramePr>
        <xdr:cNvPr id="631533451" name="Chart 22">
          <a:extLst>
            <a:ext uri="{FF2B5EF4-FFF2-40B4-BE49-F238E27FC236}">
              <a16:creationId xmlns:a16="http://schemas.microsoft.com/office/drawing/2014/main" id="{00000000-0008-0000-0100-00008B6FA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7</xdr:col>
      <xdr:colOff>1028700</xdr:colOff>
      <xdr:row>245</xdr:row>
      <xdr:rowOff>0</xdr:rowOff>
    </xdr:from>
    <xdr:ext cx="4991100" cy="3343275"/>
    <xdr:graphicFrame macro="">
      <xdr:nvGraphicFramePr>
        <xdr:cNvPr id="715395832" name="Chart 23">
          <a:extLst>
            <a:ext uri="{FF2B5EF4-FFF2-40B4-BE49-F238E27FC236}">
              <a16:creationId xmlns:a16="http://schemas.microsoft.com/office/drawing/2014/main" id="{00000000-0008-0000-0100-0000F812A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3</xdr:col>
      <xdr:colOff>28575</xdr:colOff>
      <xdr:row>266</xdr:row>
      <xdr:rowOff>0</xdr:rowOff>
    </xdr:from>
    <xdr:ext cx="7686675" cy="5400675"/>
    <xdr:graphicFrame macro="">
      <xdr:nvGraphicFramePr>
        <xdr:cNvPr id="1368194447" name="Chart 24">
          <a:extLst>
            <a:ext uri="{FF2B5EF4-FFF2-40B4-BE49-F238E27FC236}">
              <a16:creationId xmlns:a16="http://schemas.microsoft.com/office/drawing/2014/main" id="{00000000-0008-0000-0100-00008FFD8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3</xdr:col>
      <xdr:colOff>809625</xdr:colOff>
      <xdr:row>297</xdr:row>
      <xdr:rowOff>19050</xdr:rowOff>
    </xdr:from>
    <xdr:ext cx="5629275" cy="3590925"/>
    <xdr:graphicFrame macro="">
      <xdr:nvGraphicFramePr>
        <xdr:cNvPr id="1559524295" name="Chart 25">
          <a:extLst>
            <a:ext uri="{FF2B5EF4-FFF2-40B4-BE49-F238E27FC236}">
              <a16:creationId xmlns:a16="http://schemas.microsoft.com/office/drawing/2014/main" id="{00000000-0008-0000-0100-0000C773F4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1</xdr:col>
      <xdr:colOff>0</xdr:colOff>
      <xdr:row>323</xdr:row>
      <xdr:rowOff>0</xdr:rowOff>
    </xdr:from>
    <xdr:ext cx="6457950" cy="3571875"/>
    <xdr:graphicFrame macro="">
      <xdr:nvGraphicFramePr>
        <xdr:cNvPr id="2131508819" name="Chart 26">
          <a:extLst>
            <a:ext uri="{FF2B5EF4-FFF2-40B4-BE49-F238E27FC236}">
              <a16:creationId xmlns:a16="http://schemas.microsoft.com/office/drawing/2014/main" id="{00000000-0008-0000-0100-0000533E0C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5</xdr:col>
      <xdr:colOff>1381125</xdr:colOff>
      <xdr:row>323</xdr:row>
      <xdr:rowOff>0</xdr:rowOff>
    </xdr:from>
    <xdr:ext cx="6534150" cy="3581400"/>
    <xdr:graphicFrame macro="">
      <xdr:nvGraphicFramePr>
        <xdr:cNvPr id="438410675" name="Chart 27">
          <a:extLst>
            <a:ext uri="{FF2B5EF4-FFF2-40B4-BE49-F238E27FC236}">
              <a16:creationId xmlns:a16="http://schemas.microsoft.com/office/drawing/2014/main" id="{00000000-0008-0000-0100-0000B39D21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142875</xdr:colOff>
      <xdr:row>349</xdr:row>
      <xdr:rowOff>9525</xdr:rowOff>
    </xdr:from>
    <xdr:ext cx="3533775" cy="2552700"/>
    <xdr:graphicFrame macro="">
      <xdr:nvGraphicFramePr>
        <xdr:cNvPr id="2013870718" name="Chart 28">
          <a:extLst>
            <a:ext uri="{FF2B5EF4-FFF2-40B4-BE49-F238E27FC236}">
              <a16:creationId xmlns:a16="http://schemas.microsoft.com/office/drawing/2014/main" id="{00000000-0008-0000-0100-00007E3A09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3</xdr:col>
      <xdr:colOff>76200</xdr:colOff>
      <xdr:row>349</xdr:row>
      <xdr:rowOff>9525</xdr:rowOff>
    </xdr:from>
    <xdr:ext cx="4181475" cy="2552700"/>
    <xdr:graphicFrame macro="">
      <xdr:nvGraphicFramePr>
        <xdr:cNvPr id="842550742" name="Chart 29">
          <a:extLst>
            <a:ext uri="{FF2B5EF4-FFF2-40B4-BE49-F238E27FC236}">
              <a16:creationId xmlns:a16="http://schemas.microsoft.com/office/drawing/2014/main" id="{00000000-0008-0000-0100-0000D64D38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5</xdr:col>
      <xdr:colOff>1181100</xdr:colOff>
      <xdr:row>349</xdr:row>
      <xdr:rowOff>9525</xdr:rowOff>
    </xdr:from>
    <xdr:ext cx="7124700" cy="3562350"/>
    <xdr:graphicFrame macro="">
      <xdr:nvGraphicFramePr>
        <xdr:cNvPr id="2086894581" name="Chart 30">
          <a:extLst>
            <a:ext uri="{FF2B5EF4-FFF2-40B4-BE49-F238E27FC236}">
              <a16:creationId xmlns:a16="http://schemas.microsoft.com/office/drawing/2014/main" id="{00000000-0008-0000-0100-0000F57B63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6</xdr:col>
      <xdr:colOff>0</xdr:colOff>
      <xdr:row>392</xdr:row>
      <xdr:rowOff>0</xdr:rowOff>
    </xdr:from>
    <xdr:ext cx="6724650" cy="3743325"/>
    <xdr:graphicFrame macro="">
      <xdr:nvGraphicFramePr>
        <xdr:cNvPr id="59197202" name="Chart 31">
          <a:extLst>
            <a:ext uri="{FF2B5EF4-FFF2-40B4-BE49-F238E27FC236}">
              <a16:creationId xmlns:a16="http://schemas.microsoft.com/office/drawing/2014/main" id="{00000000-0008-0000-0100-0000124787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457200</xdr:colOff>
      <xdr:row>4</xdr:row>
      <xdr:rowOff>0</xdr:rowOff>
    </xdr:from>
    <xdr:ext cx="161925" cy="190500"/>
    <xdr:sp macro="" textlink="">
      <xdr:nvSpPr>
        <xdr:cNvPr id="3" name="Shape 3">
          <a:extLst>
            <a:ext uri="{FF2B5EF4-FFF2-40B4-BE49-F238E27FC236}">
              <a16:creationId xmlns:a16="http://schemas.microsoft.com/office/drawing/2014/main" id="{00000000-0008-0000-0200-000003000000}"/>
            </a:ext>
          </a:extLst>
        </xdr:cNvPr>
        <xdr:cNvSpPr/>
      </xdr:nvSpPr>
      <xdr:spPr>
        <a:xfrm rot="10800000">
          <a:off x="5269800" y="3689513"/>
          <a:ext cx="152400" cy="180975"/>
        </a:xfrm>
        <a:prstGeom prst="rtTriangle">
          <a:avLst/>
        </a:prstGeom>
        <a:solidFill>
          <a:srgbClr val="FF4940"/>
        </a:solidFill>
        <a:ln w="12700" cap="flat" cmpd="sng">
          <a:solidFill>
            <a:srgbClr val="1C305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504825</xdr:colOff>
      <xdr:row>6</xdr:row>
      <xdr:rowOff>0</xdr:rowOff>
    </xdr:from>
    <xdr:ext cx="142875" cy="161925"/>
    <xdr:sp macro="" textlink="">
      <xdr:nvSpPr>
        <xdr:cNvPr id="4" name="Shape 4">
          <a:extLst>
            <a:ext uri="{FF2B5EF4-FFF2-40B4-BE49-F238E27FC236}">
              <a16:creationId xmlns:a16="http://schemas.microsoft.com/office/drawing/2014/main" id="{00000000-0008-0000-0300-000004000000}"/>
            </a:ext>
          </a:extLst>
        </xdr:cNvPr>
        <xdr:cNvSpPr/>
      </xdr:nvSpPr>
      <xdr:spPr>
        <a:xfrm rot="10800000">
          <a:off x="5279325" y="3708563"/>
          <a:ext cx="133350" cy="142875"/>
        </a:xfrm>
        <a:prstGeom prst="rtTriangle">
          <a:avLst/>
        </a:prstGeom>
        <a:solidFill>
          <a:srgbClr val="FF4940"/>
        </a:solidFill>
        <a:ln w="12700" cap="flat" cmpd="sng">
          <a:solidFill>
            <a:srgbClr val="1C305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57150</xdr:colOff>
      <xdr:row>67</xdr:row>
      <xdr:rowOff>133350</xdr:rowOff>
    </xdr:from>
    <xdr:ext cx="8439150" cy="4086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428625</xdr:colOff>
      <xdr:row>137</xdr:row>
      <xdr:rowOff>38100</xdr:rowOff>
    </xdr:from>
    <xdr:ext cx="5705475" cy="3562350"/>
    <xdr:graphicFrame macro="">
      <xdr:nvGraphicFramePr>
        <xdr:cNvPr id="2005353189" name="Chart 32">
          <a:extLst>
            <a:ext uri="{FF2B5EF4-FFF2-40B4-BE49-F238E27FC236}">
              <a16:creationId xmlns:a16="http://schemas.microsoft.com/office/drawing/2014/main" id="{00000000-0008-0000-0400-0000E5428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1000125</xdr:colOff>
      <xdr:row>87</xdr:row>
      <xdr:rowOff>9525</xdr:rowOff>
    </xdr:from>
    <xdr:ext cx="5133975" cy="3590925"/>
    <xdr:graphicFrame macro="">
      <xdr:nvGraphicFramePr>
        <xdr:cNvPr id="53823802" name="Chart 33">
          <a:extLst>
            <a:ext uri="{FF2B5EF4-FFF2-40B4-BE49-F238E27FC236}">
              <a16:creationId xmlns:a16="http://schemas.microsoft.com/office/drawing/2014/main" id="{00000000-0008-0000-0400-00003A4935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962025</xdr:colOff>
      <xdr:row>106</xdr:row>
      <xdr:rowOff>0</xdr:rowOff>
    </xdr:from>
    <xdr:ext cx="5181600" cy="2819400"/>
    <xdr:graphicFrame macro="">
      <xdr:nvGraphicFramePr>
        <xdr:cNvPr id="429291238" name="Chart 34">
          <a:extLst>
            <a:ext uri="{FF2B5EF4-FFF2-40B4-BE49-F238E27FC236}">
              <a16:creationId xmlns:a16="http://schemas.microsoft.com/office/drawing/2014/main" id="{00000000-0008-0000-0400-0000E6769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9525</xdr:colOff>
      <xdr:row>121</xdr:row>
      <xdr:rowOff>190500</xdr:rowOff>
    </xdr:from>
    <xdr:ext cx="4010025" cy="3124200"/>
    <xdr:graphicFrame macro="">
      <xdr:nvGraphicFramePr>
        <xdr:cNvPr id="1045272054" name="Chart 35">
          <a:extLst>
            <a:ext uri="{FF2B5EF4-FFF2-40B4-BE49-F238E27FC236}">
              <a16:creationId xmlns:a16="http://schemas.microsoft.com/office/drawing/2014/main" id="{00000000-0008-0000-0400-0000F6954D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3</xdr:col>
      <xdr:colOff>285750</xdr:colOff>
      <xdr:row>122</xdr:row>
      <xdr:rowOff>0</xdr:rowOff>
    </xdr:from>
    <xdr:ext cx="4181475" cy="3095625"/>
    <xdr:graphicFrame macro="">
      <xdr:nvGraphicFramePr>
        <xdr:cNvPr id="553943128" name="Chart 36">
          <a:extLst>
            <a:ext uri="{FF2B5EF4-FFF2-40B4-BE49-F238E27FC236}">
              <a16:creationId xmlns:a16="http://schemas.microsoft.com/office/drawing/2014/main" id="{00000000-0008-0000-0400-0000588004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95250</xdr:colOff>
      <xdr:row>74</xdr:row>
      <xdr:rowOff>133350</xdr:rowOff>
    </xdr:from>
    <xdr:ext cx="9067800" cy="3267075"/>
    <xdr:graphicFrame macro="">
      <xdr:nvGraphicFramePr>
        <xdr:cNvPr id="1833028646" name="Chart 37">
          <a:extLst>
            <a:ext uri="{FF2B5EF4-FFF2-40B4-BE49-F238E27FC236}">
              <a16:creationId xmlns:a16="http://schemas.microsoft.com/office/drawing/2014/main" id="{00000000-0008-0000-0500-000026CC41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161925</xdr:colOff>
      <xdr:row>74</xdr:row>
      <xdr:rowOff>123825</xdr:rowOff>
    </xdr:from>
    <xdr:ext cx="6505575" cy="3267075"/>
    <xdr:graphicFrame macro="">
      <xdr:nvGraphicFramePr>
        <xdr:cNvPr id="87432479" name="Chart 38">
          <a:extLst>
            <a:ext uri="{FF2B5EF4-FFF2-40B4-BE49-F238E27FC236}">
              <a16:creationId xmlns:a16="http://schemas.microsoft.com/office/drawing/2014/main" id="{00000000-0008-0000-0500-00001F1D36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95250</xdr:colOff>
      <xdr:row>92</xdr:row>
      <xdr:rowOff>9525</xdr:rowOff>
    </xdr:from>
    <xdr:ext cx="9048750" cy="4781550"/>
    <xdr:graphicFrame macro="">
      <xdr:nvGraphicFramePr>
        <xdr:cNvPr id="533898933" name="Chart 39">
          <a:extLst>
            <a:ext uri="{FF2B5EF4-FFF2-40B4-BE49-F238E27FC236}">
              <a16:creationId xmlns:a16="http://schemas.microsoft.com/office/drawing/2014/main" id="{00000000-0008-0000-0500-0000B5A6D2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6</xdr:col>
      <xdr:colOff>190500</xdr:colOff>
      <xdr:row>92</xdr:row>
      <xdr:rowOff>0</xdr:rowOff>
    </xdr:from>
    <xdr:ext cx="6496050" cy="4800600"/>
    <xdr:graphicFrame macro="">
      <xdr:nvGraphicFramePr>
        <xdr:cNvPr id="511573319" name="Chart 40">
          <a:extLst>
            <a:ext uri="{FF2B5EF4-FFF2-40B4-BE49-F238E27FC236}">
              <a16:creationId xmlns:a16="http://schemas.microsoft.com/office/drawing/2014/main" id="{00000000-0008-0000-0500-000047FD7D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123825</xdr:colOff>
      <xdr:row>119</xdr:row>
      <xdr:rowOff>171450</xdr:rowOff>
    </xdr:from>
    <xdr:ext cx="6991350" cy="4152900"/>
    <xdr:graphicFrame macro="">
      <xdr:nvGraphicFramePr>
        <xdr:cNvPr id="2079517247" name="Chart 41">
          <a:extLst>
            <a:ext uri="{FF2B5EF4-FFF2-40B4-BE49-F238E27FC236}">
              <a16:creationId xmlns:a16="http://schemas.microsoft.com/office/drawing/2014/main" id="{00000000-0008-0000-0500-00003FEAF2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952500</xdr:colOff>
      <xdr:row>119</xdr:row>
      <xdr:rowOff>180975</xdr:rowOff>
    </xdr:from>
    <xdr:ext cx="6572250" cy="4152900"/>
    <xdr:graphicFrame macro="">
      <xdr:nvGraphicFramePr>
        <xdr:cNvPr id="1328192854" name="Chart 42">
          <a:extLst>
            <a:ext uri="{FF2B5EF4-FFF2-40B4-BE49-F238E27FC236}">
              <a16:creationId xmlns:a16="http://schemas.microsoft.com/office/drawing/2014/main" id="{00000000-0008-0000-0500-0000569D2A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104775</xdr:colOff>
      <xdr:row>140</xdr:row>
      <xdr:rowOff>200025</xdr:rowOff>
    </xdr:from>
    <xdr:ext cx="7000875" cy="4191000"/>
    <xdr:graphicFrame macro="">
      <xdr:nvGraphicFramePr>
        <xdr:cNvPr id="96964484" name="Chart 43">
          <a:extLst>
            <a:ext uri="{FF2B5EF4-FFF2-40B4-BE49-F238E27FC236}">
              <a16:creationId xmlns:a16="http://schemas.microsoft.com/office/drawing/2014/main" id="{00000000-0008-0000-0500-0000848FC7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962025</xdr:colOff>
      <xdr:row>141</xdr:row>
      <xdr:rowOff>0</xdr:rowOff>
    </xdr:from>
    <xdr:ext cx="6553200" cy="4181475"/>
    <xdr:graphicFrame macro="">
      <xdr:nvGraphicFramePr>
        <xdr:cNvPr id="837633271" name="Chart 44">
          <a:extLst>
            <a:ext uri="{FF2B5EF4-FFF2-40B4-BE49-F238E27FC236}">
              <a16:creationId xmlns:a16="http://schemas.microsoft.com/office/drawing/2014/main" id="{00000000-0008-0000-0500-0000F744ED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28575</xdr:colOff>
      <xdr:row>45</xdr:row>
      <xdr:rowOff>19050</xdr:rowOff>
    </xdr:from>
    <xdr:ext cx="4876800" cy="2886075"/>
    <xdr:graphicFrame macro="">
      <xdr:nvGraphicFramePr>
        <xdr:cNvPr id="1083609745" name="Chart 45">
          <a:extLst>
            <a:ext uri="{FF2B5EF4-FFF2-40B4-BE49-F238E27FC236}">
              <a16:creationId xmlns:a16="http://schemas.microsoft.com/office/drawing/2014/main" id="{00000000-0008-0000-0600-0000919296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1133475</xdr:colOff>
      <xdr:row>45</xdr:row>
      <xdr:rowOff>28575</xdr:rowOff>
    </xdr:from>
    <xdr:ext cx="4943475" cy="2867025"/>
    <xdr:graphicFrame macro="">
      <xdr:nvGraphicFramePr>
        <xdr:cNvPr id="548747929" name="Chart 46">
          <a:extLst>
            <a:ext uri="{FF2B5EF4-FFF2-40B4-BE49-F238E27FC236}">
              <a16:creationId xmlns:a16="http://schemas.microsoft.com/office/drawing/2014/main" id="{00000000-0008-0000-0600-0000993AB5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66675</xdr:colOff>
      <xdr:row>60</xdr:row>
      <xdr:rowOff>0</xdr:rowOff>
    </xdr:from>
    <xdr:ext cx="7572375" cy="4533900"/>
    <xdr:graphicFrame macro="">
      <xdr:nvGraphicFramePr>
        <xdr:cNvPr id="225627721" name="Chart 47">
          <a:extLst>
            <a:ext uri="{FF2B5EF4-FFF2-40B4-BE49-F238E27FC236}">
              <a16:creationId xmlns:a16="http://schemas.microsoft.com/office/drawing/2014/main" id="{00000000-0008-0000-0600-000049CE72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142875</xdr:colOff>
      <xdr:row>52</xdr:row>
      <xdr:rowOff>19050</xdr:rowOff>
    </xdr:from>
    <xdr:ext cx="5448300" cy="3143250"/>
    <xdr:graphicFrame macro="">
      <xdr:nvGraphicFramePr>
        <xdr:cNvPr id="1014586893" name="Chart 48" title="Graphique">
          <a:extLst>
            <a:ext uri="{FF2B5EF4-FFF2-40B4-BE49-F238E27FC236}">
              <a16:creationId xmlns:a16="http://schemas.microsoft.com/office/drawing/2014/main" id="{00000000-0008-0000-0700-00000D5E79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76200</xdr:colOff>
      <xdr:row>62</xdr:row>
      <xdr:rowOff>28575</xdr:rowOff>
    </xdr:from>
    <xdr:ext cx="7572375" cy="5324475"/>
    <xdr:graphicFrame macro="">
      <xdr:nvGraphicFramePr>
        <xdr:cNvPr id="1740071856" name="Chart 49">
          <a:extLst>
            <a:ext uri="{FF2B5EF4-FFF2-40B4-BE49-F238E27FC236}">
              <a16:creationId xmlns:a16="http://schemas.microsoft.com/office/drawing/2014/main" id="{00000000-0008-0000-0700-0000B063B7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161925</xdr:colOff>
      <xdr:row>69</xdr:row>
      <xdr:rowOff>19050</xdr:rowOff>
    </xdr:from>
    <xdr:ext cx="5457825" cy="3152775"/>
    <xdr:graphicFrame macro="">
      <xdr:nvGraphicFramePr>
        <xdr:cNvPr id="379288693" name="Chart 50">
          <a:extLst>
            <a:ext uri="{FF2B5EF4-FFF2-40B4-BE49-F238E27FC236}">
              <a16:creationId xmlns:a16="http://schemas.microsoft.com/office/drawing/2014/main" id="{00000000-0008-0000-0700-0000757C9B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295275</xdr:colOff>
      <xdr:row>181</xdr:row>
      <xdr:rowOff>57150</xdr:rowOff>
    </xdr:from>
    <xdr:ext cx="6381750" cy="3390900"/>
    <xdr:graphicFrame macro="">
      <xdr:nvGraphicFramePr>
        <xdr:cNvPr id="1456164472" name="Chart 51" title="Graphique">
          <a:extLst>
            <a:ext uri="{FF2B5EF4-FFF2-40B4-BE49-F238E27FC236}">
              <a16:creationId xmlns:a16="http://schemas.microsoft.com/office/drawing/2014/main" id="{00000000-0008-0000-0800-0000784ECB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323850</xdr:colOff>
      <xdr:row>198</xdr:row>
      <xdr:rowOff>190500</xdr:rowOff>
    </xdr:from>
    <xdr:ext cx="6429375" cy="3409950"/>
    <xdr:graphicFrame macro="">
      <xdr:nvGraphicFramePr>
        <xdr:cNvPr id="1387515655" name="Chart 52">
          <a:extLst>
            <a:ext uri="{FF2B5EF4-FFF2-40B4-BE49-F238E27FC236}">
              <a16:creationId xmlns:a16="http://schemas.microsoft.com/office/drawing/2014/main" id="{00000000-0008-0000-0800-000007CFB3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276225</xdr:colOff>
      <xdr:row>216</xdr:row>
      <xdr:rowOff>142875</xdr:rowOff>
    </xdr:from>
    <xdr:ext cx="6496050" cy="3505200"/>
    <xdr:graphicFrame macro="">
      <xdr:nvGraphicFramePr>
        <xdr:cNvPr id="5106356" name="Chart 53">
          <a:extLst>
            <a:ext uri="{FF2B5EF4-FFF2-40B4-BE49-F238E27FC236}">
              <a16:creationId xmlns:a16="http://schemas.microsoft.com/office/drawing/2014/main" id="{00000000-0008-0000-0800-0000B4EA4D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xdr:col>
      <xdr:colOff>815975</xdr:colOff>
      <xdr:row>182</xdr:row>
      <xdr:rowOff>38100</xdr:rowOff>
    </xdr:from>
    <xdr:ext cx="7820025" cy="4429125"/>
    <xdr:graphicFrame macro="">
      <xdr:nvGraphicFramePr>
        <xdr:cNvPr id="952645515" name="Chart 54">
          <a:extLst>
            <a:ext uri="{FF2B5EF4-FFF2-40B4-BE49-F238E27FC236}">
              <a16:creationId xmlns:a16="http://schemas.microsoft.com/office/drawing/2014/main" id="{00000000-0008-0000-0800-00008B37C8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123calculus.com/conversion-volume-masse-page-9-60-600.html"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hyperlink" Target="https://ecoprod.com/moyens-techniques-de-production/" TargetMode="External"/><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123calculus.com/conversion-volume-masse-page-9-60-600.html"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001"/>
  <sheetViews>
    <sheetView workbookViewId="0">
      <pane xSplit="6" ySplit="5" topLeftCell="G99" activePane="bottomRight" state="frozen"/>
      <selection pane="topRight" activeCell="G1" sqref="G1"/>
      <selection pane="bottomLeft" activeCell="A6" sqref="A6"/>
      <selection pane="bottomRight" activeCell="B9" sqref="B9"/>
    </sheetView>
  </sheetViews>
  <sheetFormatPr baseColWidth="10" defaultColWidth="11.125" defaultRowHeight="15" customHeight="1"/>
  <cols>
    <col min="1" max="1" width="2.5" customWidth="1"/>
    <col min="2" max="2" width="18" customWidth="1"/>
    <col min="3" max="3" width="10" customWidth="1"/>
    <col min="4" max="5" width="36.5" customWidth="1"/>
    <col min="6" max="6" width="21.125" customWidth="1"/>
    <col min="7" max="7" width="2.5" customWidth="1"/>
    <col min="8" max="13" width="11" customWidth="1"/>
    <col min="14" max="14" width="40.375" customWidth="1"/>
    <col min="15" max="26" width="11" customWidth="1"/>
  </cols>
  <sheetData>
    <row r="1" spans="1:14" ht="123.75" customHeight="1"/>
    <row r="2" spans="1:14" ht="71.25" customHeight="1" thickBot="1">
      <c r="D2" s="537" t="s">
        <v>782</v>
      </c>
      <c r="E2" s="538"/>
    </row>
    <row r="3" spans="1:14" ht="15.75" customHeight="1" thickBot="1">
      <c r="A3" s="515" t="s">
        <v>0</v>
      </c>
      <c r="B3" s="516"/>
      <c r="C3" s="516"/>
      <c r="D3" s="516"/>
      <c r="E3" s="516"/>
      <c r="F3" s="516"/>
      <c r="G3" s="517"/>
    </row>
    <row r="4" spans="1:14" ht="15.75" customHeight="1">
      <c r="B4" s="1"/>
      <c r="C4" s="1"/>
      <c r="D4" s="1"/>
      <c r="E4" s="1"/>
      <c r="F4" s="1"/>
    </row>
    <row r="5" spans="1:14" ht="15.75" customHeight="1">
      <c r="B5" s="2"/>
      <c r="C5" s="1"/>
      <c r="D5" s="1"/>
      <c r="E5" s="1"/>
      <c r="F5" s="1"/>
    </row>
    <row r="6" spans="1:14" ht="15.75" customHeight="1">
      <c r="B6" s="3" t="s">
        <v>2</v>
      </c>
      <c r="C6" s="1"/>
      <c r="D6" s="1"/>
      <c r="E6" s="1"/>
      <c r="F6" s="1"/>
    </row>
    <row r="7" spans="1:14" ht="15.75" customHeight="1">
      <c r="B7" s="3" t="s">
        <v>3</v>
      </c>
      <c r="C7" s="1"/>
      <c r="D7" s="1"/>
      <c r="E7" s="1"/>
      <c r="F7" s="1"/>
    </row>
    <row r="8" spans="1:14" ht="15.75" customHeight="1">
      <c r="A8" s="4"/>
      <c r="B8" s="4"/>
      <c r="C8" s="4"/>
      <c r="D8" s="4"/>
      <c r="E8" s="4"/>
      <c r="F8" s="4"/>
      <c r="G8" s="4"/>
      <c r="H8" s="4"/>
      <c r="I8" s="4"/>
      <c r="J8" s="4"/>
      <c r="K8" s="4"/>
      <c r="L8" s="4"/>
      <c r="M8" s="4"/>
      <c r="N8" s="4"/>
    </row>
    <row r="9" spans="1:14" ht="15.75" customHeight="1">
      <c r="A9" s="4"/>
      <c r="B9" s="4"/>
      <c r="C9" s="4"/>
      <c r="D9" s="518" t="s">
        <v>4</v>
      </c>
      <c r="E9" s="519"/>
      <c r="F9" s="5" t="s">
        <v>5</v>
      </c>
      <c r="G9" s="4"/>
      <c r="H9" s="4"/>
      <c r="I9" s="4"/>
      <c r="J9" s="4"/>
      <c r="K9" s="4"/>
      <c r="L9" s="4"/>
      <c r="M9" s="4"/>
      <c r="N9" s="4"/>
    </row>
    <row r="10" spans="1:14" ht="9.75" customHeight="1">
      <c r="A10" s="4"/>
      <c r="B10" s="4"/>
      <c r="C10" s="4"/>
      <c r="D10" s="4"/>
      <c r="E10" s="4"/>
      <c r="F10" s="4"/>
      <c r="G10" s="4"/>
      <c r="H10" s="4"/>
      <c r="I10" s="4"/>
      <c r="J10" s="4"/>
      <c r="K10" s="4"/>
      <c r="L10" s="4"/>
      <c r="M10" s="4"/>
      <c r="N10" s="4"/>
    </row>
    <row r="11" spans="1:14" ht="30" customHeight="1">
      <c r="A11" s="4"/>
      <c r="B11" s="520" t="s">
        <v>6</v>
      </c>
      <c r="C11" s="521"/>
      <c r="D11" s="521"/>
      <c r="E11" s="521"/>
      <c r="F11" s="519"/>
      <c r="G11" s="4"/>
      <c r="H11" s="4"/>
      <c r="I11" s="4"/>
      <c r="J11" s="4"/>
      <c r="K11" s="4"/>
      <c r="L11" s="4"/>
      <c r="M11" s="4"/>
      <c r="N11" s="4"/>
    </row>
    <row r="12" spans="1:14" ht="19.5" customHeight="1">
      <c r="A12" s="4"/>
      <c r="C12" s="522" t="s">
        <v>7</v>
      </c>
      <c r="D12" s="521"/>
      <c r="E12" s="521"/>
      <c r="F12" s="519"/>
      <c r="G12" s="4"/>
      <c r="H12" s="4"/>
      <c r="I12" s="4"/>
      <c r="J12" s="4"/>
      <c r="K12" s="4"/>
      <c r="L12" s="4"/>
      <c r="M12" s="4"/>
      <c r="N12" s="4"/>
    </row>
    <row r="13" spans="1:14" ht="15.75" customHeight="1">
      <c r="A13" s="4"/>
      <c r="B13" s="6"/>
      <c r="C13" s="4"/>
      <c r="D13" s="7" t="s">
        <v>8</v>
      </c>
      <c r="E13" s="8" t="s">
        <v>9</v>
      </c>
      <c r="F13" s="9" t="str">
        <f>IF('1- DONNÉES FINANCIÈRES'!C26="","à faire",IF('1- DONNÉES FINANCIÈRES'!C28="","à faire",IF('1- DONNÉES FINANCIÈRES'!C30="","à faire",IF('1- DONNÉES FINANCIÈRES'!F26="","à faire",IF('1- DONNÉES FINANCIÈRES'!F28="","à faire",IF('1- DONNÉES FINANCIÈRES'!F30="","à faire","ok"))))))</f>
        <v>à faire</v>
      </c>
      <c r="G13" s="4"/>
      <c r="H13" s="4"/>
      <c r="I13" s="4"/>
      <c r="J13" s="4"/>
      <c r="K13" s="4"/>
      <c r="L13" s="4"/>
      <c r="M13" s="4"/>
      <c r="N13" s="4"/>
    </row>
    <row r="14" spans="1:14" ht="15.75" customHeight="1">
      <c r="A14" s="4"/>
      <c r="B14" s="6"/>
      <c r="C14" s="4"/>
      <c r="E14" s="8" t="s">
        <v>10</v>
      </c>
      <c r="F14" s="9" t="str">
        <f>IF('1- DONNÉES FINANCIÈRES'!C27="","à faire",IF('1- DONNÉES FINANCIÈRES'!C29="","à faire",IF('1- DONNÉES FINANCIÈRES'!C31="","à faire",IF('1- DONNÉES FINANCIÈRES'!F27="","à faire",IF('1- DONNÉES FINANCIÈRES'!F29="","à faire",IF('1- DONNÉES FINANCIÈRES'!F31="","à faire","ok"))))))</f>
        <v>à faire</v>
      </c>
      <c r="G14" s="4"/>
      <c r="H14" s="4"/>
      <c r="I14" s="4"/>
      <c r="J14" s="4"/>
      <c r="K14" s="4"/>
      <c r="L14" s="4"/>
      <c r="M14" s="4"/>
      <c r="N14" s="4"/>
    </row>
    <row r="15" spans="1:14" ht="15.75" customHeight="1">
      <c r="A15" s="4"/>
      <c r="B15" s="6"/>
      <c r="C15" s="4"/>
      <c r="D15" s="7" t="s">
        <v>11</v>
      </c>
      <c r="E15" s="8" t="s">
        <v>12</v>
      </c>
      <c r="F15" s="9" t="str">
        <f>IF('1- DONNÉES FINANCIÈRES'!C28="","à faire",IF('1- DONNÉES FINANCIÈRES'!C30="","à faire",IF('1- DONNÉES FINANCIÈRES'!C32="","à faire",IF('1- DONNÉES FINANCIÈRES'!F28="","à faire",IF('1- DONNÉES FINANCIÈRES'!F30="","à faire",IF('1- DONNÉES FINANCIÈRES'!F32="","à faire","ok"))))))</f>
        <v>à faire</v>
      </c>
      <c r="G15" s="4"/>
      <c r="H15" s="4"/>
      <c r="I15" s="4"/>
      <c r="J15" s="4"/>
      <c r="K15" s="4"/>
      <c r="L15" s="4"/>
      <c r="M15" s="4"/>
      <c r="N15" s="4"/>
    </row>
    <row r="16" spans="1:14" ht="19.5" customHeight="1">
      <c r="A16" s="4"/>
      <c r="C16" s="522" t="s">
        <v>13</v>
      </c>
      <c r="D16" s="521"/>
      <c r="E16" s="521"/>
      <c r="F16" s="519"/>
      <c r="G16" s="4"/>
      <c r="H16" s="4"/>
      <c r="I16" s="4"/>
      <c r="J16" s="4"/>
      <c r="K16" s="4"/>
      <c r="L16" s="4"/>
      <c r="M16" s="4"/>
      <c r="N16" s="4"/>
    </row>
    <row r="17" spans="1:14" ht="15.75" customHeight="1">
      <c r="A17" s="4"/>
      <c r="B17" s="6"/>
      <c r="C17" s="4"/>
      <c r="E17" s="8" t="s">
        <v>14</v>
      </c>
      <c r="F17" s="9" t="str">
        <f>IF('1- DONNÉES FINANCIÈRES'!C30="","à faire",IF('1- DONNÉES FINANCIÈRES'!C32="","à faire",IF('1- DONNÉES FINANCIÈRES'!C34="","à faire",IF('1- DONNÉES FINANCIÈRES'!F30="","à faire",IF('1- DONNÉES FINANCIÈRES'!F32="","à faire",IF('1- DONNÉES FINANCIÈRES'!F34="","à faire","ok"))))))</f>
        <v>à faire</v>
      </c>
      <c r="G17" s="4"/>
      <c r="H17" s="4"/>
      <c r="I17" s="4"/>
      <c r="J17" s="4"/>
      <c r="K17" s="4"/>
      <c r="L17" s="4"/>
      <c r="M17" s="4"/>
      <c r="N17" s="4"/>
    </row>
    <row r="18" spans="1:14" ht="19.5" customHeight="1">
      <c r="A18" s="4"/>
      <c r="C18" s="522" t="s">
        <v>15</v>
      </c>
      <c r="D18" s="521"/>
      <c r="E18" s="521"/>
      <c r="F18" s="519"/>
      <c r="G18" s="4"/>
      <c r="H18" s="4"/>
      <c r="I18" s="4"/>
      <c r="J18" s="4"/>
      <c r="K18" s="4"/>
      <c r="L18" s="4"/>
      <c r="M18" s="4"/>
      <c r="N18" s="4"/>
    </row>
    <row r="19" spans="1:14" ht="15.75" customHeight="1">
      <c r="A19" s="4"/>
      <c r="B19" s="6"/>
      <c r="C19" s="4"/>
      <c r="E19" s="8" t="s">
        <v>14</v>
      </c>
      <c r="F19" s="9" t="str">
        <f>IF('1- DONNÉES FINANCIÈRES'!C32="","à faire",IF('1- DONNÉES FINANCIÈRES'!C34="","à faire",IF('1- DONNÉES FINANCIÈRES'!C36="","à faire",IF('1- DONNÉES FINANCIÈRES'!F32="","à faire",IF('1- DONNÉES FINANCIÈRES'!F34="","à faire",IF('1- DONNÉES FINANCIÈRES'!F36="","à faire","ok"))))))</f>
        <v>à faire</v>
      </c>
      <c r="G19" s="4"/>
      <c r="H19" s="4"/>
      <c r="I19" s="4"/>
      <c r="J19" s="4"/>
      <c r="K19" s="4"/>
      <c r="L19" s="4"/>
      <c r="M19" s="4"/>
      <c r="N19" s="4"/>
    </row>
    <row r="20" spans="1:14" ht="19.5" customHeight="1">
      <c r="A20" s="4"/>
      <c r="C20" s="522" t="s">
        <v>16</v>
      </c>
      <c r="D20" s="521"/>
      <c r="E20" s="521"/>
      <c r="F20" s="519"/>
      <c r="G20" s="4"/>
      <c r="H20" s="4"/>
      <c r="I20" s="4"/>
      <c r="J20" s="4"/>
      <c r="K20" s="4"/>
      <c r="L20" s="4"/>
      <c r="M20" s="4"/>
      <c r="N20" s="4"/>
    </row>
    <row r="21" spans="1:14" ht="15.75" customHeight="1">
      <c r="A21" s="4"/>
      <c r="B21" s="6"/>
      <c r="C21" s="4"/>
      <c r="E21" s="8" t="s">
        <v>14</v>
      </c>
      <c r="F21" s="9" t="str">
        <f>IF('1- DONNÉES FINANCIÈRES'!C34="","à faire",IF('1- DONNÉES FINANCIÈRES'!C36="","à faire",IF('1- DONNÉES FINANCIÈRES'!C38="","à faire",IF('1- DONNÉES FINANCIÈRES'!F34="","à faire",IF('1- DONNÉES FINANCIÈRES'!F36="","à faire",IF('1- DONNÉES FINANCIÈRES'!F38="","à faire","ok"))))))</f>
        <v>à faire</v>
      </c>
      <c r="G21" s="4"/>
      <c r="H21" s="4"/>
      <c r="I21" s="4"/>
      <c r="J21" s="4"/>
      <c r="K21" s="4"/>
      <c r="L21" s="4"/>
      <c r="M21" s="4"/>
      <c r="N21" s="4"/>
    </row>
    <row r="22" spans="1:14" ht="15.75" customHeight="1">
      <c r="A22" s="4"/>
      <c r="G22" s="4"/>
      <c r="H22" s="4"/>
      <c r="I22" s="4"/>
      <c r="J22" s="4"/>
      <c r="K22" s="4"/>
      <c r="L22" s="4"/>
      <c r="M22" s="4"/>
      <c r="N22" s="4"/>
    </row>
    <row r="23" spans="1:14" ht="30" customHeight="1">
      <c r="A23" s="4"/>
      <c r="B23" s="523" t="s">
        <v>17</v>
      </c>
      <c r="C23" s="521"/>
      <c r="D23" s="521"/>
      <c r="E23" s="521"/>
      <c r="F23" s="519"/>
      <c r="G23" s="4"/>
      <c r="H23" s="4"/>
      <c r="I23" s="4"/>
      <c r="J23" s="4"/>
      <c r="K23" s="4"/>
      <c r="L23" s="4"/>
      <c r="M23" s="4"/>
      <c r="N23" s="4"/>
    </row>
    <row r="24" spans="1:14" ht="19.5" customHeight="1">
      <c r="A24" s="4"/>
      <c r="C24" s="524" t="s">
        <v>18</v>
      </c>
      <c r="D24" s="521"/>
      <c r="E24" s="521"/>
      <c r="F24" s="519"/>
      <c r="G24" s="4"/>
      <c r="H24" s="4"/>
      <c r="I24" s="4"/>
      <c r="J24" s="4"/>
      <c r="K24" s="4"/>
      <c r="L24" s="4"/>
      <c r="M24" s="4"/>
      <c r="N24" s="4"/>
    </row>
    <row r="25" spans="1:14" ht="15.75" customHeight="1">
      <c r="A25" s="4"/>
      <c r="B25" s="6"/>
      <c r="C25" s="4"/>
      <c r="F25" s="9" t="str">
        <f>IF(COUNTIF('2- LIEUX'!A14:A29,"validé")=COUNTA('2- LIEUX'!A14:A29),"ok","à faire")</f>
        <v>à faire</v>
      </c>
      <c r="G25" s="4"/>
      <c r="H25" s="4"/>
      <c r="I25" s="4"/>
      <c r="J25" s="4"/>
      <c r="K25" s="4"/>
      <c r="L25" s="4"/>
      <c r="M25" s="4"/>
      <c r="N25" s="4"/>
    </row>
    <row r="26" spans="1:14" ht="19.5" customHeight="1">
      <c r="A26" s="4"/>
      <c r="C26" s="524" t="s">
        <v>19</v>
      </c>
      <c r="D26" s="521"/>
      <c r="E26" s="521"/>
      <c r="F26" s="519"/>
      <c r="G26" s="4"/>
      <c r="H26" s="4"/>
      <c r="I26" s="4"/>
      <c r="J26" s="4"/>
      <c r="K26" s="4"/>
      <c r="L26" s="4"/>
      <c r="M26" s="4"/>
      <c r="N26" s="4"/>
    </row>
    <row r="27" spans="1:14" ht="15.75" customHeight="1">
      <c r="A27" s="4"/>
      <c r="B27" s="6"/>
      <c r="C27" s="4"/>
      <c r="F27" s="9" t="str">
        <f>IF(COUNTIF('2- LIEUX'!A34:A54,"validé")=COUNTA('2- LIEUX'!A34:A54),"ok","à faire")</f>
        <v>à faire</v>
      </c>
      <c r="G27" s="4"/>
      <c r="H27" s="4"/>
      <c r="I27" s="4"/>
      <c r="J27" s="4"/>
      <c r="K27" s="4"/>
      <c r="L27" s="4"/>
      <c r="M27" s="4"/>
      <c r="N27" s="4"/>
    </row>
    <row r="28" spans="1:14" ht="19.5" customHeight="1">
      <c r="A28" s="4"/>
      <c r="C28" s="524" t="s">
        <v>20</v>
      </c>
      <c r="D28" s="521"/>
      <c r="E28" s="521"/>
      <c r="F28" s="519"/>
      <c r="G28" s="4"/>
      <c r="H28" s="4"/>
      <c r="I28" s="4"/>
      <c r="J28" s="4"/>
      <c r="K28" s="4"/>
      <c r="L28" s="4"/>
      <c r="M28" s="4"/>
      <c r="N28" s="4"/>
    </row>
    <row r="29" spans="1:14" ht="15.75" customHeight="1">
      <c r="A29" s="4"/>
      <c r="B29" s="6"/>
      <c r="C29" s="4"/>
      <c r="F29" s="9" t="str">
        <f>IF(COUNTIF('2- LIEUX'!A59:A64,"validé")=COUNTA('2- LIEUX'!A59:A64),"ok","à faire")</f>
        <v>à faire</v>
      </c>
      <c r="G29" s="4"/>
      <c r="H29" s="4"/>
      <c r="I29" s="4"/>
      <c r="J29" s="4"/>
      <c r="K29" s="4"/>
      <c r="L29" s="4"/>
      <c r="M29" s="4"/>
      <c r="N29" s="4"/>
    </row>
    <row r="30" spans="1:14" ht="15.75" customHeight="1">
      <c r="A30" s="4"/>
      <c r="G30" s="4"/>
      <c r="H30" s="4"/>
      <c r="I30" s="4"/>
      <c r="J30" s="4"/>
      <c r="K30" s="4"/>
      <c r="L30" s="4"/>
      <c r="M30" s="4"/>
      <c r="N30" s="4"/>
    </row>
    <row r="31" spans="1:14" ht="30" customHeight="1">
      <c r="A31" s="4"/>
      <c r="B31" s="525" t="s">
        <v>21</v>
      </c>
      <c r="C31" s="521"/>
      <c r="D31" s="521"/>
      <c r="E31" s="521"/>
      <c r="F31" s="519"/>
      <c r="G31" s="4"/>
      <c r="H31" s="4"/>
      <c r="I31" s="4"/>
      <c r="J31" s="4"/>
      <c r="K31" s="4"/>
      <c r="L31" s="4"/>
      <c r="M31" s="4"/>
      <c r="N31" s="4"/>
    </row>
    <row r="32" spans="1:14" ht="19.5" customHeight="1">
      <c r="A32" s="4"/>
      <c r="C32" s="526" t="s">
        <v>22</v>
      </c>
      <c r="D32" s="521"/>
      <c r="E32" s="521"/>
      <c r="F32" s="519"/>
      <c r="G32" s="4"/>
      <c r="H32" s="4"/>
      <c r="I32" s="4"/>
      <c r="J32" s="4"/>
      <c r="K32" s="4"/>
      <c r="L32" s="4"/>
      <c r="M32" s="4"/>
      <c r="N32" s="4"/>
    </row>
    <row r="33" spans="1:14" ht="15.75" customHeight="1">
      <c r="A33" s="4"/>
      <c r="B33" s="6"/>
      <c r="C33" s="4"/>
      <c r="F33" s="9" t="str">
        <f>IF(COUNTIF('3- VEHICULES LEGERS'!A20:A38,"validé")=COUNTA('3- VEHICULES LEGERS'!A20:A38),"ok","à faire")</f>
        <v>ok</v>
      </c>
      <c r="G33" s="4"/>
      <c r="H33" s="4"/>
      <c r="I33" s="4"/>
      <c r="J33" s="4"/>
      <c r="K33" s="4"/>
      <c r="L33" s="4"/>
      <c r="M33" s="4"/>
      <c r="N33" s="4"/>
    </row>
    <row r="34" spans="1:14" ht="19.5" customHeight="1">
      <c r="A34" s="4"/>
      <c r="C34" s="526" t="s">
        <v>23</v>
      </c>
      <c r="D34" s="521"/>
      <c r="E34" s="521"/>
      <c r="F34" s="519"/>
      <c r="G34" s="4"/>
      <c r="H34" s="4"/>
      <c r="I34" s="4"/>
      <c r="J34" s="4"/>
      <c r="K34" s="4"/>
      <c r="L34" s="4"/>
      <c r="M34" s="4"/>
      <c r="N34" s="4"/>
    </row>
    <row r="35" spans="1:14" ht="15.75" customHeight="1">
      <c r="A35" s="4"/>
      <c r="B35" s="6"/>
      <c r="C35" s="4"/>
      <c r="F35" s="9" t="str">
        <f>IF(COUNTIF('3- VEHICULES LEGERS'!A42:A57,"validé")=COUNTA('3- VEHICULES LEGERS'!A42:A57),"ok","à faire")</f>
        <v>à faire</v>
      </c>
      <c r="G35" s="4"/>
      <c r="H35" s="4"/>
      <c r="I35" s="4"/>
      <c r="J35" s="4"/>
      <c r="K35" s="4"/>
      <c r="L35" s="4"/>
      <c r="M35" s="4"/>
      <c r="N35" s="4"/>
    </row>
    <row r="36" spans="1:14" ht="19.5" customHeight="1">
      <c r="A36" s="4"/>
      <c r="C36" s="526" t="s">
        <v>24</v>
      </c>
      <c r="D36" s="521"/>
      <c r="E36" s="521"/>
      <c r="F36" s="519"/>
      <c r="G36" s="4"/>
      <c r="H36" s="4"/>
      <c r="I36" s="4"/>
      <c r="J36" s="4"/>
      <c r="K36" s="4"/>
      <c r="L36" s="4"/>
      <c r="M36" s="4"/>
      <c r="N36" s="4"/>
    </row>
    <row r="37" spans="1:14" ht="15.75" customHeight="1">
      <c r="A37" s="4"/>
      <c r="B37" s="6"/>
      <c r="C37" s="4"/>
      <c r="F37" s="9" t="str">
        <f>IF(COUNTIF('3- VEHICULES LEGERS'!A61:A82,"validé")=COUNTA('3- VEHICULES LEGERS'!A61:A82),"ok","à faire")</f>
        <v>à faire</v>
      </c>
      <c r="G37" s="4"/>
      <c r="H37" s="4"/>
      <c r="I37" s="4"/>
      <c r="J37" s="4"/>
      <c r="K37" s="4"/>
      <c r="L37" s="4"/>
      <c r="M37" s="4"/>
      <c r="N37" s="4"/>
    </row>
    <row r="38" spans="1:14" ht="15.75" customHeight="1">
      <c r="A38" s="4"/>
      <c r="G38" s="4"/>
      <c r="H38" s="4"/>
      <c r="I38" s="4"/>
      <c r="J38" s="4"/>
      <c r="K38" s="4"/>
      <c r="L38" s="4"/>
      <c r="M38" s="4"/>
      <c r="N38" s="4"/>
    </row>
    <row r="39" spans="1:14" ht="30" customHeight="1">
      <c r="A39" s="4"/>
      <c r="B39" s="527" t="s">
        <v>25</v>
      </c>
      <c r="C39" s="521"/>
      <c r="D39" s="521"/>
      <c r="E39" s="521"/>
      <c r="F39" s="519"/>
      <c r="G39" s="4"/>
      <c r="H39" s="4"/>
      <c r="I39" s="4"/>
      <c r="J39" s="4"/>
      <c r="K39" s="4"/>
      <c r="L39" s="4"/>
      <c r="M39" s="4"/>
      <c r="N39" s="4"/>
    </row>
    <row r="40" spans="1:14" ht="19.5" customHeight="1">
      <c r="A40" s="4"/>
      <c r="C40" s="528" t="s">
        <v>26</v>
      </c>
      <c r="D40" s="521"/>
      <c r="E40" s="521"/>
      <c r="F40" s="519"/>
      <c r="G40" s="4"/>
      <c r="H40" s="4"/>
      <c r="I40" s="4"/>
      <c r="J40" s="4"/>
      <c r="K40" s="4"/>
      <c r="L40" s="4"/>
      <c r="M40" s="4"/>
      <c r="N40" s="4"/>
    </row>
    <row r="41" spans="1:14" ht="15.75" customHeight="1">
      <c r="A41" s="4"/>
      <c r="B41" s="6"/>
      <c r="C41" s="4"/>
      <c r="F41" s="9" t="str">
        <f>IF(COUNTIF('4- VEHICULES UTILITAIRES'!A15:A40,"validé")=COUNTA('4- VEHICULES UTILITAIRES'!A15:A40),"ok","à faire")</f>
        <v>à faire</v>
      </c>
      <c r="G41" s="4"/>
      <c r="H41" s="4"/>
      <c r="I41" s="4"/>
      <c r="J41" s="4"/>
      <c r="K41" s="4"/>
      <c r="L41" s="4"/>
      <c r="M41" s="4"/>
      <c r="N41" s="4"/>
    </row>
    <row r="42" spans="1:14" ht="19.5" customHeight="1">
      <c r="A42" s="4"/>
      <c r="C42" s="528" t="s">
        <v>27</v>
      </c>
      <c r="D42" s="521"/>
      <c r="E42" s="521"/>
      <c r="F42" s="519"/>
      <c r="G42" s="4"/>
      <c r="H42" s="4"/>
      <c r="I42" s="4"/>
      <c r="J42" s="4"/>
      <c r="K42" s="4"/>
      <c r="L42" s="4"/>
      <c r="M42" s="4"/>
      <c r="N42" s="4"/>
    </row>
    <row r="43" spans="1:14" ht="15.75" customHeight="1">
      <c r="A43" s="4"/>
      <c r="B43" s="6"/>
      <c r="C43" s="4"/>
      <c r="F43" s="9" t="str">
        <f>IF(COUNTIF('4- VEHICULES UTILITAIRES'!A44:A66,"validé")=COUNTA('4- VEHICULES UTILITAIRES'!A44:A66),"ok","à faire")</f>
        <v>à faire</v>
      </c>
      <c r="G43" s="4"/>
      <c r="H43" s="4"/>
      <c r="I43" s="4"/>
      <c r="J43" s="4"/>
      <c r="K43" s="4"/>
      <c r="L43" s="4"/>
      <c r="M43" s="4"/>
      <c r="N43" s="4"/>
    </row>
    <row r="44" spans="1:14" ht="15.75" customHeight="1">
      <c r="A44" s="4"/>
      <c r="G44" s="4"/>
      <c r="H44" s="4"/>
      <c r="I44" s="4"/>
      <c r="J44" s="4"/>
      <c r="K44" s="4"/>
      <c r="L44" s="4"/>
      <c r="M44" s="4"/>
      <c r="N44" s="4"/>
    </row>
    <row r="45" spans="1:14" ht="30" customHeight="1">
      <c r="A45" s="4"/>
      <c r="B45" s="529" t="s">
        <v>28</v>
      </c>
      <c r="C45" s="521"/>
      <c r="D45" s="521"/>
      <c r="E45" s="521"/>
      <c r="F45" s="519"/>
      <c r="G45" s="4"/>
      <c r="H45" s="4"/>
      <c r="I45" s="4"/>
      <c r="J45" s="4"/>
      <c r="K45" s="4"/>
      <c r="L45" s="4"/>
      <c r="M45" s="4"/>
      <c r="N45" s="4"/>
    </row>
    <row r="46" spans="1:14" ht="15.75" customHeight="1">
      <c r="A46" s="4"/>
      <c r="B46" s="6"/>
      <c r="C46" s="4"/>
      <c r="F46" s="9" t="str">
        <f>IF(COUNTIF('5- VEHICULES DE JEU'!A12:A40,"validé")=COUNTA('5- VEHICULES DE JEU'!A12:A40),"ok","à faire")</f>
        <v>à faire</v>
      </c>
      <c r="G46" s="4"/>
      <c r="H46" s="4"/>
      <c r="I46" s="4"/>
      <c r="J46" s="4"/>
      <c r="K46" s="4"/>
      <c r="L46" s="4"/>
      <c r="M46" s="4"/>
      <c r="N46" s="4"/>
    </row>
    <row r="47" spans="1:14" ht="15.75" customHeight="1">
      <c r="A47" s="4"/>
      <c r="G47" s="4"/>
      <c r="H47" s="4"/>
      <c r="I47" s="4"/>
      <c r="J47" s="4"/>
      <c r="K47" s="4"/>
      <c r="L47" s="4"/>
      <c r="M47" s="4"/>
      <c r="N47" s="4"/>
    </row>
    <row r="48" spans="1:14" ht="30" customHeight="1">
      <c r="A48" s="4"/>
      <c r="B48" s="530" t="s">
        <v>29</v>
      </c>
      <c r="C48" s="521"/>
      <c r="D48" s="521"/>
      <c r="E48" s="521"/>
      <c r="F48" s="519"/>
      <c r="G48" s="4"/>
      <c r="H48" s="4"/>
      <c r="I48" s="4"/>
      <c r="J48" s="4"/>
      <c r="K48" s="4"/>
      <c r="L48" s="4"/>
      <c r="M48" s="4"/>
      <c r="N48" s="4"/>
    </row>
    <row r="49" spans="1:14" ht="15.75" customHeight="1">
      <c r="A49" s="4"/>
      <c r="B49" s="6"/>
      <c r="C49" s="4"/>
      <c r="F49" s="9" t="str">
        <f>IF(COUNTIF('6- HÉBERGEMENT'!A11:A46,"validé")=COUNTA('6- HÉBERGEMENT'!A11:A46),"ok","à faire")</f>
        <v>à faire</v>
      </c>
      <c r="G49" s="4"/>
      <c r="H49" s="4"/>
      <c r="I49" s="4"/>
      <c r="J49" s="4"/>
      <c r="K49" s="4"/>
      <c r="L49" s="4"/>
      <c r="M49" s="4"/>
      <c r="N49" s="4"/>
    </row>
    <row r="50" spans="1:14" ht="15.75" customHeight="1">
      <c r="A50" s="4"/>
      <c r="G50" s="4"/>
      <c r="H50" s="4"/>
      <c r="I50" s="4"/>
      <c r="J50" s="4"/>
      <c r="K50" s="4"/>
      <c r="L50" s="4"/>
      <c r="M50" s="4"/>
      <c r="N50" s="4"/>
    </row>
    <row r="51" spans="1:14" ht="30" customHeight="1">
      <c r="A51" s="4"/>
      <c r="B51" s="531" t="s">
        <v>30</v>
      </c>
      <c r="C51" s="521"/>
      <c r="D51" s="521"/>
      <c r="E51" s="521"/>
      <c r="F51" s="519"/>
      <c r="G51" s="4"/>
      <c r="H51" s="4"/>
      <c r="I51" s="4"/>
      <c r="J51" s="4"/>
      <c r="K51" s="4"/>
      <c r="L51" s="4"/>
      <c r="M51" s="4"/>
      <c r="N51" s="4"/>
    </row>
    <row r="52" spans="1:14" ht="19.5" customHeight="1">
      <c r="A52" s="4"/>
      <c r="C52" s="532" t="s">
        <v>31</v>
      </c>
      <c r="D52" s="521"/>
      <c r="E52" s="521"/>
      <c r="F52" s="519"/>
      <c r="G52" s="4"/>
      <c r="H52" s="4"/>
      <c r="I52" s="4"/>
      <c r="J52" s="4"/>
      <c r="K52" s="4"/>
      <c r="L52" s="4"/>
      <c r="M52" s="4"/>
      <c r="N52" s="4"/>
    </row>
    <row r="53" spans="1:14" ht="15.75" customHeight="1">
      <c r="A53" s="4"/>
      <c r="B53" s="6"/>
      <c r="C53" s="4"/>
      <c r="F53" s="9" t="str">
        <f>IF(COUNTIF('7- DÉPLACEMENTS PERSONNES'!A16:A67,"validé")=COUNTA('7- DÉPLACEMENTS PERSONNES'!A16:A67),"ok","à faire")</f>
        <v>à faire</v>
      </c>
      <c r="G53" s="4"/>
      <c r="H53" s="4"/>
      <c r="I53" s="4"/>
      <c r="J53" s="4"/>
      <c r="K53" s="4"/>
      <c r="L53" s="4"/>
      <c r="M53" s="4"/>
      <c r="N53" s="4"/>
    </row>
    <row r="54" spans="1:14" ht="19.5" customHeight="1">
      <c r="A54" s="4"/>
      <c r="C54" s="532" t="s">
        <v>23</v>
      </c>
      <c r="D54" s="521"/>
      <c r="E54" s="521"/>
      <c r="F54" s="519"/>
      <c r="G54" s="4"/>
      <c r="H54" s="4"/>
      <c r="I54" s="4"/>
      <c r="J54" s="4"/>
      <c r="K54" s="4"/>
      <c r="L54" s="4"/>
      <c r="M54" s="4"/>
      <c r="N54" s="4"/>
    </row>
    <row r="55" spans="1:14" ht="15.75" customHeight="1">
      <c r="A55" s="4"/>
      <c r="B55" s="6"/>
      <c r="C55" s="4"/>
      <c r="F55" s="9" t="str">
        <f>IF('1- DONNÉES FINANCIÈRES'!C68="","à faire",IF('1- DONNÉES FINANCIÈRES'!C70="","à faire",IF('1- DONNÉES FINANCIÈRES'!C72="","à faire",IF('1- DONNÉES FINANCIÈRES'!F68="","à faire",IF('1- DONNÉES FINANCIÈRES'!F70="","à faire",IF('1- DONNÉES FINANCIÈRES'!F72="","à faire","ok"))))))</f>
        <v>à faire</v>
      </c>
      <c r="G55" s="4"/>
      <c r="H55" s="4"/>
      <c r="I55" s="4"/>
      <c r="J55" s="4"/>
      <c r="K55" s="4"/>
      <c r="L55" s="4"/>
      <c r="M55" s="4"/>
      <c r="N55" s="4"/>
    </row>
    <row r="56" spans="1:14" ht="19.5" customHeight="1">
      <c r="A56" s="4"/>
      <c r="C56" s="532" t="s">
        <v>24</v>
      </c>
      <c r="D56" s="521"/>
      <c r="E56" s="521"/>
      <c r="F56" s="519"/>
      <c r="G56" s="4"/>
      <c r="H56" s="4"/>
      <c r="I56" s="4"/>
      <c r="J56" s="4"/>
      <c r="K56" s="4"/>
      <c r="L56" s="4"/>
      <c r="M56" s="4"/>
      <c r="N56" s="4"/>
    </row>
    <row r="57" spans="1:14" ht="15.75" customHeight="1">
      <c r="A57" s="4"/>
      <c r="B57" s="6"/>
      <c r="C57" s="4"/>
      <c r="F57" s="9" t="str">
        <f>IF(COUNTIF('7- DÉPLACEMENTS PERSONNES'!A138:A158,"validé")=COUNTA('7- DÉPLACEMENTS PERSONNES'!A138:A158),"ok","à faire")</f>
        <v>à faire</v>
      </c>
      <c r="G57" s="4"/>
      <c r="H57" s="4"/>
      <c r="I57" s="4"/>
      <c r="J57" s="4"/>
      <c r="K57" s="4"/>
      <c r="L57" s="4"/>
      <c r="M57" s="4"/>
      <c r="N57" s="4"/>
    </row>
    <row r="58" spans="1:14" ht="15.75" customHeight="1">
      <c r="A58" s="4"/>
      <c r="G58" s="4"/>
      <c r="H58" s="4"/>
      <c r="I58" s="4"/>
      <c r="J58" s="4"/>
      <c r="K58" s="4"/>
      <c r="L58" s="4"/>
      <c r="M58" s="4"/>
      <c r="N58" s="4"/>
    </row>
    <row r="59" spans="1:14" ht="30" customHeight="1">
      <c r="A59" s="4"/>
      <c r="B59" s="533" t="s">
        <v>32</v>
      </c>
      <c r="C59" s="521"/>
      <c r="D59" s="521"/>
      <c r="E59" s="521"/>
      <c r="F59" s="519"/>
      <c r="G59" s="4"/>
      <c r="H59" s="4"/>
      <c r="I59" s="4"/>
      <c r="J59" s="4"/>
      <c r="K59" s="4"/>
      <c r="L59" s="4"/>
      <c r="M59" s="4"/>
      <c r="N59" s="4"/>
    </row>
    <row r="60" spans="1:14" ht="15.75" customHeight="1">
      <c r="A60" s="4"/>
      <c r="B60" s="6"/>
      <c r="C60" s="4"/>
      <c r="F60" s="9" t="str">
        <f>IF(COUNTIF('8- REPAS'!A12:A51,"validé")=COUNTA('8- REPAS'!A12:A51),"ok","à faire")</f>
        <v>à faire</v>
      </c>
      <c r="G60" s="4"/>
      <c r="H60" s="4"/>
      <c r="I60" s="4"/>
      <c r="J60" s="4"/>
      <c r="K60" s="4"/>
      <c r="L60" s="4"/>
      <c r="M60" s="4"/>
      <c r="N60" s="4"/>
    </row>
    <row r="61" spans="1:14" ht="15.75" customHeight="1">
      <c r="A61" s="4"/>
      <c r="G61" s="4"/>
      <c r="H61" s="4"/>
      <c r="I61" s="4"/>
      <c r="J61" s="4"/>
      <c r="K61" s="4"/>
      <c r="L61" s="4"/>
      <c r="M61" s="4"/>
      <c r="N61" s="4"/>
    </row>
    <row r="62" spans="1:14" ht="30" customHeight="1">
      <c r="A62" s="4"/>
      <c r="B62" s="534" t="s">
        <v>33</v>
      </c>
      <c r="C62" s="521"/>
      <c r="D62" s="521"/>
      <c r="E62" s="521"/>
      <c r="F62" s="519"/>
      <c r="G62" s="4"/>
      <c r="H62" s="4"/>
      <c r="I62" s="4"/>
      <c r="J62" s="4"/>
      <c r="K62" s="4"/>
      <c r="L62" s="4"/>
      <c r="M62" s="4"/>
      <c r="N62" s="4"/>
    </row>
    <row r="63" spans="1:14" ht="19.5" customHeight="1">
      <c r="A63" s="4"/>
      <c r="C63" s="535" t="s">
        <v>34</v>
      </c>
      <c r="D63" s="521"/>
      <c r="E63" s="521"/>
      <c r="F63" s="519"/>
      <c r="G63" s="4"/>
      <c r="H63" s="4"/>
      <c r="I63" s="4"/>
      <c r="J63" s="4"/>
      <c r="K63" s="4"/>
      <c r="L63" s="4"/>
      <c r="M63" s="4"/>
      <c r="N63" s="4"/>
    </row>
    <row r="64" spans="1:14" ht="15.75" customHeight="1">
      <c r="A64" s="4"/>
      <c r="B64" s="6"/>
      <c r="C64" s="4"/>
      <c r="F64" s="9" t="str">
        <f>IF('1- DONNÉES FINANCIÈRES'!C77="","à faire",IF('1- DONNÉES FINANCIÈRES'!C79="","à faire",IF('1- DONNÉES FINANCIÈRES'!C81="","à faire",IF('1- DONNÉES FINANCIÈRES'!F77="","à faire",IF('1- DONNÉES FINANCIÈRES'!F79="","à faire",IF('1- DONNÉES FINANCIÈRES'!F81="","à faire","ok"))))))</f>
        <v>à faire</v>
      </c>
      <c r="G64" s="4"/>
      <c r="H64" s="4"/>
      <c r="I64" s="4"/>
      <c r="J64" s="4"/>
      <c r="K64" s="4"/>
      <c r="L64" s="4"/>
      <c r="M64" s="4"/>
      <c r="N64" s="4"/>
    </row>
    <row r="65" spans="1:14" ht="19.5" customHeight="1">
      <c r="A65" s="4"/>
      <c r="C65" s="535" t="s">
        <v>23</v>
      </c>
      <c r="D65" s="521"/>
      <c r="E65" s="521"/>
      <c r="F65" s="519"/>
      <c r="G65" s="4"/>
      <c r="H65" s="4"/>
      <c r="I65" s="4"/>
      <c r="J65" s="4"/>
      <c r="K65" s="4"/>
      <c r="L65" s="4"/>
      <c r="M65" s="4"/>
      <c r="N65" s="4"/>
    </row>
    <row r="66" spans="1:14" ht="15.75" customHeight="1">
      <c r="A66" s="4"/>
      <c r="B66" s="6"/>
      <c r="C66" s="4"/>
      <c r="F66" s="9" t="str">
        <f>IF('1- DONNÉES FINANCIÈRES'!C79="","à faire",IF('1- DONNÉES FINANCIÈRES'!C81="","à faire",IF('1- DONNÉES FINANCIÈRES'!C83="","à faire",IF('1- DONNÉES FINANCIÈRES'!F79="","à faire",IF('1- DONNÉES FINANCIÈRES'!F81="","à faire",IF('1- DONNÉES FINANCIÈRES'!F83="","à faire","ok"))))))</f>
        <v>à faire</v>
      </c>
      <c r="G66" s="4"/>
      <c r="H66" s="4"/>
      <c r="I66" s="4"/>
      <c r="J66" s="4"/>
      <c r="K66" s="4"/>
      <c r="L66" s="4"/>
      <c r="M66" s="4"/>
      <c r="N66" s="4"/>
    </row>
    <row r="67" spans="1:14" ht="19.5" customHeight="1">
      <c r="A67" s="4"/>
      <c r="C67" s="535" t="s">
        <v>24</v>
      </c>
      <c r="D67" s="521"/>
      <c r="E67" s="521"/>
      <c r="F67" s="519"/>
      <c r="G67" s="4"/>
      <c r="H67" s="4"/>
      <c r="I67" s="4"/>
      <c r="J67" s="4"/>
      <c r="K67" s="4"/>
      <c r="L67" s="4"/>
      <c r="M67" s="4"/>
      <c r="N67" s="4"/>
    </row>
    <row r="68" spans="1:14" ht="15.75" customHeight="1">
      <c r="A68" s="4"/>
      <c r="B68" s="6"/>
      <c r="C68" s="4"/>
      <c r="F68" s="9" t="str">
        <f>IF(COUNTIF('9- DÉCHETS'!A226:A237,"validé")=COUNTA('9- DÉCHETS'!A226:A237),"ok","à faire")</f>
        <v>à faire</v>
      </c>
      <c r="G68" s="4"/>
      <c r="H68" s="4"/>
      <c r="I68" s="4"/>
      <c r="J68" s="4"/>
      <c r="K68" s="4"/>
      <c r="L68" s="4"/>
      <c r="M68" s="4"/>
      <c r="N68" s="4"/>
    </row>
    <row r="69" spans="1:14" ht="15.75" customHeight="1">
      <c r="A69" s="4"/>
      <c r="G69" s="4"/>
      <c r="H69" s="4"/>
      <c r="I69" s="4"/>
      <c r="J69" s="4"/>
      <c r="K69" s="4"/>
      <c r="L69" s="4"/>
      <c r="M69" s="4"/>
      <c r="N69" s="4"/>
    </row>
    <row r="70" spans="1:14" ht="30" customHeight="1">
      <c r="A70" s="4"/>
      <c r="B70" s="536" t="s">
        <v>35</v>
      </c>
      <c r="C70" s="521"/>
      <c r="D70" s="521"/>
      <c r="E70" s="521"/>
      <c r="F70" s="519"/>
      <c r="G70" s="4"/>
      <c r="H70" s="4"/>
      <c r="I70" s="4"/>
      <c r="J70" s="4"/>
      <c r="K70" s="4"/>
      <c r="L70" s="4"/>
      <c r="M70" s="4"/>
      <c r="N70" s="4"/>
    </row>
    <row r="71" spans="1:14" ht="15.75" customHeight="1">
      <c r="A71" s="4"/>
      <c r="B71" s="6"/>
      <c r="C71" s="4"/>
      <c r="F71" s="9" t="str">
        <f>IF(COUNTIF('10- MOYENS TECHNIQUES'!A13:A44,"validé")=COUNTA('10- MOYENS TECHNIQUES'!A13:A44),"ok","à faire")</f>
        <v>à faire</v>
      </c>
      <c r="G71" s="4"/>
      <c r="H71" s="4"/>
      <c r="I71" s="4"/>
      <c r="J71" s="4"/>
      <c r="K71" s="4"/>
      <c r="L71" s="4"/>
      <c r="M71" s="4"/>
      <c r="N71" s="4"/>
    </row>
    <row r="72" spans="1:14" ht="15.75" customHeight="1">
      <c r="A72" s="4"/>
      <c r="G72" s="4"/>
      <c r="H72" s="4"/>
      <c r="I72" s="4"/>
      <c r="J72" s="4"/>
      <c r="K72" s="4"/>
      <c r="L72" s="4"/>
      <c r="M72" s="4"/>
      <c r="N72" s="4"/>
    </row>
    <row r="73" spans="1:14" ht="30" customHeight="1">
      <c r="A73" s="4"/>
      <c r="B73" s="547" t="s">
        <v>36</v>
      </c>
      <c r="C73" s="521"/>
      <c r="D73" s="521"/>
      <c r="E73" s="521"/>
      <c r="F73" s="519"/>
      <c r="G73" s="4"/>
      <c r="H73" s="4"/>
      <c r="I73" s="4"/>
      <c r="J73" s="4"/>
      <c r="K73" s="4"/>
      <c r="L73" s="4"/>
      <c r="M73" s="4"/>
      <c r="N73" s="4"/>
    </row>
    <row r="74" spans="1:14" ht="19.5" customHeight="1">
      <c r="A74" s="4"/>
      <c r="C74" s="548" t="s">
        <v>37</v>
      </c>
      <c r="D74" s="521"/>
      <c r="E74" s="521"/>
      <c r="F74" s="519"/>
      <c r="G74" s="4"/>
      <c r="H74" s="4"/>
      <c r="I74" s="4"/>
      <c r="J74" s="4"/>
      <c r="K74" s="4"/>
      <c r="L74" s="4"/>
      <c r="M74" s="4"/>
      <c r="N74" s="4"/>
    </row>
    <row r="75" spans="1:14" ht="15.75" customHeight="1">
      <c r="A75" s="4"/>
      <c r="B75" s="6"/>
      <c r="C75" s="4"/>
      <c r="F75" s="9" t="str">
        <f>IF(COUNTIF('11-MOYENS SPECIAUX PRISE DE VUE'!A13:A28,"validé")=COUNTA('11-MOYENS SPECIAUX PRISE DE VUE'!A13:A28),"ok","à faire")</f>
        <v>à faire</v>
      </c>
      <c r="G75" s="4"/>
      <c r="H75" s="4"/>
      <c r="I75" s="4"/>
      <c r="J75" s="4"/>
      <c r="K75" s="4"/>
      <c r="L75" s="4"/>
      <c r="M75" s="4"/>
      <c r="N75" s="4"/>
    </row>
    <row r="76" spans="1:14" ht="19.5" customHeight="1">
      <c r="A76" s="4"/>
      <c r="C76" s="548" t="s">
        <v>38</v>
      </c>
      <c r="D76" s="521"/>
      <c r="E76" s="521"/>
      <c r="F76" s="519"/>
      <c r="G76" s="4"/>
      <c r="H76" s="4"/>
      <c r="I76" s="4"/>
      <c r="J76" s="4"/>
      <c r="K76" s="4"/>
      <c r="L76" s="4"/>
      <c r="M76" s="4"/>
      <c r="N76" s="4"/>
    </row>
    <row r="77" spans="1:14" ht="15.75" customHeight="1">
      <c r="A77" s="4"/>
      <c r="B77" s="6"/>
      <c r="C77" s="4"/>
      <c r="F77" s="9" t="str">
        <f>IF(COUNTIF('11-MOYENS SPECIAUX PRISE DE VUE'!A37:A52,"validé")=COUNTA('11-MOYENS SPECIAUX PRISE DE VUE'!A37:A52),"ok","à faire")</f>
        <v>à faire</v>
      </c>
      <c r="G77" s="4"/>
      <c r="H77" s="4"/>
      <c r="I77" s="4"/>
      <c r="J77" s="4"/>
      <c r="K77" s="4"/>
      <c r="L77" s="4"/>
      <c r="M77" s="4"/>
      <c r="N77" s="4"/>
    </row>
    <row r="78" spans="1:14" ht="19.5" customHeight="1">
      <c r="A78" s="4"/>
      <c r="C78" s="548" t="s">
        <v>39</v>
      </c>
      <c r="D78" s="521"/>
      <c r="E78" s="521"/>
      <c r="F78" s="519"/>
      <c r="G78" s="4"/>
      <c r="H78" s="4"/>
      <c r="I78" s="4"/>
      <c r="J78" s="4"/>
      <c r="K78" s="4"/>
      <c r="L78" s="4"/>
      <c r="M78" s="4"/>
      <c r="N78" s="4"/>
    </row>
    <row r="79" spans="1:14" ht="15.75" customHeight="1">
      <c r="A79" s="4"/>
      <c r="B79" s="6"/>
      <c r="C79" s="4"/>
      <c r="F79" s="9" t="str">
        <f>IF(COUNTIF('11-MOYENS SPECIAUX PRISE DE VUE'!A62:A77,"validé")=COUNTA('11-MOYENS SPECIAUX PRISE DE VUE'!A62:A77),"ok","à faire")</f>
        <v>à faire</v>
      </c>
      <c r="G79" s="4"/>
      <c r="H79" s="4"/>
      <c r="I79" s="4"/>
      <c r="J79" s="4"/>
      <c r="K79" s="4"/>
      <c r="L79" s="4"/>
      <c r="M79" s="4"/>
      <c r="N79" s="4"/>
    </row>
    <row r="80" spans="1:14" ht="15.75" customHeight="1">
      <c r="A80" s="4"/>
      <c r="G80" s="4"/>
      <c r="H80" s="4"/>
      <c r="I80" s="4"/>
      <c r="J80" s="4"/>
      <c r="K80" s="4"/>
      <c r="L80" s="4"/>
      <c r="M80" s="4"/>
      <c r="N80" s="4"/>
    </row>
    <row r="81" spans="1:14" ht="30" customHeight="1">
      <c r="A81" s="4"/>
      <c r="B81" s="549" t="s">
        <v>40</v>
      </c>
      <c r="C81" s="521"/>
      <c r="D81" s="521"/>
      <c r="E81" s="521"/>
      <c r="F81" s="519"/>
      <c r="G81" s="4"/>
      <c r="H81" s="4"/>
      <c r="I81" s="4"/>
      <c r="J81" s="4"/>
      <c r="K81" s="4"/>
      <c r="L81" s="4"/>
      <c r="M81" s="4"/>
      <c r="N81" s="4"/>
    </row>
    <row r="82" spans="1:14" ht="15.75" customHeight="1">
      <c r="A82" s="4"/>
      <c r="B82" s="6"/>
      <c r="C82" s="4"/>
      <c r="F82" s="9" t="str">
        <f>IF(COUNTIF('12- CARS PROD &amp; REGIE'!A10:A25,"validé")=COUNTA('12- CARS PROD &amp; REGIE'!A10:A25),"ok","à faire")</f>
        <v>à faire</v>
      </c>
      <c r="G82" s="4"/>
      <c r="H82" s="4"/>
      <c r="I82" s="4"/>
      <c r="J82" s="4"/>
      <c r="K82" s="4"/>
      <c r="L82" s="4"/>
      <c r="M82" s="4"/>
      <c r="N82" s="4"/>
    </row>
    <row r="83" spans="1:14" ht="15.75" customHeight="1">
      <c r="A83" s="4"/>
      <c r="G83" s="4"/>
      <c r="H83" s="4"/>
      <c r="I83" s="4"/>
      <c r="J83" s="4"/>
      <c r="K83" s="4"/>
      <c r="L83" s="4"/>
      <c r="M83" s="4"/>
      <c r="N83" s="4"/>
    </row>
    <row r="84" spans="1:14" ht="30" customHeight="1">
      <c r="A84" s="4"/>
      <c r="B84" s="542" t="s">
        <v>41</v>
      </c>
      <c r="C84" s="521"/>
      <c r="D84" s="521"/>
      <c r="E84" s="521"/>
      <c r="F84" s="519"/>
      <c r="G84" s="4"/>
      <c r="H84" s="4"/>
      <c r="I84" s="4"/>
      <c r="J84" s="4"/>
      <c r="K84" s="4"/>
      <c r="L84" s="4"/>
      <c r="M84" s="4"/>
      <c r="N84" s="4"/>
    </row>
    <row r="85" spans="1:14" ht="19.5" customHeight="1">
      <c r="A85" s="4"/>
      <c r="C85" s="543" t="s">
        <v>42</v>
      </c>
      <c r="D85" s="521"/>
      <c r="E85" s="521"/>
      <c r="F85" s="519"/>
      <c r="G85" s="4"/>
      <c r="H85" s="4"/>
      <c r="I85" s="4"/>
      <c r="J85" s="4"/>
      <c r="K85" s="4"/>
      <c r="L85" s="4"/>
      <c r="M85" s="4"/>
      <c r="N85" s="4"/>
    </row>
    <row r="86" spans="1:14" ht="15.75" customHeight="1">
      <c r="A86" s="4"/>
      <c r="B86" s="6"/>
      <c r="C86" s="4"/>
      <c r="F86" s="9" t="str">
        <f>IF('1- DONNÉES FINANCIÈRES'!C99="","à faire",IF('1- DONNÉES FINANCIÈRES'!C101="","à faire",IF('1- DONNÉES FINANCIÈRES'!C103="","à faire",IF('1- DONNÉES FINANCIÈRES'!F99="","à faire",IF('1- DONNÉES FINANCIÈRES'!F101="","à faire",IF('1- DONNÉES FINANCIÈRES'!F103="","à faire","ok"))))))</f>
        <v>à faire</v>
      </c>
      <c r="G86" s="4"/>
      <c r="H86" s="4"/>
      <c r="I86" s="4"/>
      <c r="J86" s="4"/>
      <c r="K86" s="4"/>
      <c r="L86" s="4"/>
      <c r="M86" s="4"/>
      <c r="N86" s="4"/>
    </row>
    <row r="87" spans="1:14" ht="19.5" customHeight="1">
      <c r="A87" s="4"/>
      <c r="C87" s="543" t="s">
        <v>23</v>
      </c>
      <c r="D87" s="521"/>
      <c r="E87" s="521"/>
      <c r="F87" s="519"/>
      <c r="G87" s="4"/>
      <c r="H87" s="4"/>
      <c r="I87" s="4"/>
      <c r="J87" s="4"/>
      <c r="K87" s="4"/>
      <c r="L87" s="4"/>
      <c r="M87" s="4"/>
      <c r="N87" s="4"/>
    </row>
    <row r="88" spans="1:14" ht="15.75" customHeight="1">
      <c r="A88" s="4"/>
      <c r="B88" s="6"/>
      <c r="C88" s="4"/>
      <c r="F88" s="9" t="str">
        <f>IF(COUNTIF('13- CANTINES &amp; LOGES'!A26:A38,"validé")=COUNTA('13- CANTINES &amp; LOGES'!A26:A38),"ok","à faire")</f>
        <v>à faire</v>
      </c>
      <c r="G88" s="4"/>
      <c r="H88" s="4"/>
      <c r="I88" s="4"/>
      <c r="J88" s="4"/>
      <c r="K88" s="4"/>
      <c r="L88" s="4"/>
      <c r="M88" s="4"/>
      <c r="N88" s="4"/>
    </row>
    <row r="89" spans="1:14" ht="15.75" customHeight="1">
      <c r="A89" s="4"/>
      <c r="G89" s="4"/>
      <c r="H89" s="4"/>
      <c r="I89" s="4"/>
      <c r="J89" s="4"/>
      <c r="K89" s="4"/>
      <c r="L89" s="4"/>
      <c r="M89" s="4"/>
      <c r="N89" s="4"/>
    </row>
    <row r="90" spans="1:14" ht="30" customHeight="1">
      <c r="A90" s="4"/>
      <c r="B90" s="544" t="s">
        <v>43</v>
      </c>
      <c r="C90" s="521"/>
      <c r="D90" s="521"/>
      <c r="E90" s="521"/>
      <c r="F90" s="519"/>
      <c r="G90" s="4"/>
      <c r="H90" s="4"/>
      <c r="I90" s="4"/>
      <c r="J90" s="4"/>
      <c r="K90" s="4"/>
      <c r="L90" s="4"/>
      <c r="M90" s="4"/>
      <c r="N90" s="4"/>
    </row>
    <row r="91" spans="1:14" ht="19.5" customHeight="1">
      <c r="A91" s="4"/>
      <c r="C91" s="545" t="s">
        <v>44</v>
      </c>
      <c r="D91" s="521"/>
      <c r="E91" s="521"/>
      <c r="F91" s="519"/>
      <c r="G91" s="4"/>
      <c r="H91" s="4"/>
      <c r="I91" s="4"/>
      <c r="J91" s="4"/>
      <c r="K91" s="4"/>
      <c r="L91" s="4"/>
      <c r="M91" s="4"/>
      <c r="N91" s="4"/>
    </row>
    <row r="92" spans="1:14" ht="15.75" customHeight="1">
      <c r="A92" s="4"/>
      <c r="B92" s="6"/>
      <c r="C92" s="4"/>
      <c r="F92" s="9" t="str">
        <f>IF(COUNTIF('14- GROUPES ELECTRO'!A19:A29,"validé")=COUNTA('14- GROUPES ELECTRO'!A19:A29),"ok","à faire")</f>
        <v>à faire</v>
      </c>
      <c r="G92" s="4"/>
      <c r="H92" s="4"/>
      <c r="I92" s="4"/>
      <c r="J92" s="4"/>
      <c r="K92" s="4"/>
      <c r="L92" s="4"/>
      <c r="M92" s="4"/>
      <c r="N92" s="4"/>
    </row>
    <row r="93" spans="1:14" ht="19.5" customHeight="1">
      <c r="A93" s="4"/>
      <c r="C93" s="545" t="s">
        <v>23</v>
      </c>
      <c r="D93" s="521"/>
      <c r="E93" s="521"/>
      <c r="F93" s="519"/>
      <c r="G93" s="4"/>
      <c r="H93" s="4"/>
      <c r="I93" s="4"/>
      <c r="J93" s="4"/>
      <c r="K93" s="4"/>
      <c r="L93" s="4"/>
      <c r="M93" s="4"/>
      <c r="N93" s="4"/>
    </row>
    <row r="94" spans="1:14" ht="15.75" customHeight="1">
      <c r="A94" s="4"/>
      <c r="B94" s="6"/>
      <c r="C94" s="4"/>
      <c r="F94" s="9" t="str">
        <f>IF(COUNTIF('14- GROUPES ELECTRO'!A33:A48,"validé")=COUNTA('14- GROUPES ELECTRO'!A33:A48),"ok","à faire")</f>
        <v>à faire</v>
      </c>
      <c r="G94" s="4"/>
      <c r="H94" s="4"/>
      <c r="I94" s="4"/>
      <c r="J94" s="4"/>
      <c r="K94" s="4"/>
      <c r="L94" s="4"/>
      <c r="M94" s="4"/>
      <c r="N94" s="4"/>
    </row>
    <row r="95" spans="1:14" ht="15.75" customHeight="1">
      <c r="A95" s="4"/>
      <c r="G95" s="4"/>
      <c r="H95" s="4"/>
      <c r="I95" s="4"/>
      <c r="J95" s="4"/>
      <c r="K95" s="4"/>
      <c r="L95" s="4"/>
      <c r="M95" s="4"/>
      <c r="N95" s="4"/>
    </row>
    <row r="96" spans="1:14" ht="30" customHeight="1">
      <c r="A96" s="4"/>
      <c r="B96" s="546" t="s">
        <v>45</v>
      </c>
      <c r="C96" s="521"/>
      <c r="D96" s="521"/>
      <c r="E96" s="521"/>
      <c r="F96" s="519"/>
      <c r="G96" s="4"/>
      <c r="H96" s="4"/>
      <c r="I96" s="4"/>
      <c r="J96" s="4"/>
      <c r="K96" s="4"/>
      <c r="L96" s="4"/>
      <c r="M96" s="4"/>
      <c r="N96" s="4"/>
    </row>
    <row r="97" spans="1:18" ht="19.5" customHeight="1">
      <c r="A97" s="4"/>
      <c r="C97" s="539" t="s">
        <v>46</v>
      </c>
      <c r="D97" s="521"/>
      <c r="E97" s="521"/>
      <c r="F97" s="519"/>
      <c r="G97" s="4"/>
      <c r="H97" s="4"/>
      <c r="I97" s="4"/>
      <c r="J97" s="4"/>
      <c r="K97" s="4"/>
      <c r="L97" s="4"/>
      <c r="M97" s="4"/>
      <c r="N97" s="4"/>
    </row>
    <row r="98" spans="1:18" ht="15.75" customHeight="1">
      <c r="A98" s="4"/>
      <c r="B98" s="6"/>
      <c r="C98" s="4"/>
      <c r="F98" s="9" t="str">
        <f>IF('1- DONNÉES FINANCIÈRES'!C111="","à faire",IF('1- DONNÉES FINANCIÈRES'!C113="","à faire",IF('1- DONNÉES FINANCIÈRES'!C115="","à faire",IF('1- DONNÉES FINANCIÈRES'!F111="","à faire",IF('1- DONNÉES FINANCIÈRES'!F113="","à faire",IF('1- DONNÉES FINANCIÈRES'!F115="","à faire","ok"))))))</f>
        <v>à faire</v>
      </c>
      <c r="G98" s="4"/>
      <c r="H98" s="4"/>
      <c r="I98" s="4"/>
      <c r="J98" s="4"/>
      <c r="K98" s="4"/>
      <c r="L98" s="4"/>
      <c r="M98" s="4"/>
      <c r="N98" s="4"/>
    </row>
    <row r="99" spans="1:18" ht="19.5" customHeight="1">
      <c r="A99" s="4"/>
      <c r="C99" s="539" t="s">
        <v>47</v>
      </c>
      <c r="D99" s="521"/>
      <c r="E99" s="521"/>
      <c r="F99" s="519"/>
      <c r="G99" s="4"/>
      <c r="H99" s="4"/>
      <c r="I99" s="4"/>
      <c r="J99" s="4"/>
      <c r="K99" s="4"/>
      <c r="L99" s="4"/>
      <c r="M99" s="4"/>
      <c r="N99" s="4"/>
    </row>
    <row r="100" spans="1:18" ht="15.75" customHeight="1">
      <c r="A100" s="4"/>
      <c r="B100" s="6"/>
      <c r="C100" s="4"/>
      <c r="F100" s="9" t="str">
        <f>IF(COUNTIF('15- DATA &amp; POST-PROD'!A42:A62,"validé")=COUNTA('15- DATA &amp; POST-PROD'!A42:A62),"ok","à faire")</f>
        <v>à faire</v>
      </c>
      <c r="G100" s="4"/>
      <c r="H100" s="4"/>
      <c r="I100" s="4"/>
      <c r="J100" s="4"/>
      <c r="K100" s="4"/>
      <c r="L100" s="4"/>
      <c r="M100" s="4"/>
      <c r="N100" s="4"/>
    </row>
    <row r="101" spans="1:18" ht="15.75" customHeight="1">
      <c r="A101" s="4"/>
      <c r="G101" s="4"/>
      <c r="H101" s="4"/>
      <c r="I101" s="4"/>
      <c r="J101" s="4"/>
      <c r="K101" s="4"/>
      <c r="L101" s="4"/>
      <c r="M101" s="4"/>
      <c r="N101" s="4"/>
    </row>
    <row r="102" spans="1:18" ht="30" customHeight="1">
      <c r="A102" s="4"/>
      <c r="F102" s="10"/>
      <c r="G102" s="4"/>
      <c r="H102" s="4"/>
      <c r="I102" s="4"/>
      <c r="J102" s="4"/>
      <c r="K102" s="4"/>
      <c r="L102" s="4"/>
      <c r="M102" s="4"/>
      <c r="Q102" s="4"/>
      <c r="R102" s="4"/>
    </row>
    <row r="103" spans="1:18" ht="30" customHeight="1">
      <c r="A103" s="4"/>
      <c r="I103" s="4"/>
      <c r="J103" s="540"/>
      <c r="K103" s="541"/>
      <c r="L103" s="541"/>
      <c r="M103" s="541"/>
      <c r="N103" s="4"/>
    </row>
    <row r="104" spans="1:18" ht="30" customHeight="1">
      <c r="A104" s="4"/>
      <c r="I104" s="4"/>
      <c r="J104" s="4"/>
      <c r="K104" s="4"/>
      <c r="L104" s="4"/>
      <c r="M104" s="4"/>
      <c r="N104" s="4"/>
    </row>
    <row r="105" spans="1:18" ht="30" customHeight="1">
      <c r="A105" s="4"/>
      <c r="I105" s="4"/>
      <c r="J105" s="4"/>
      <c r="K105" s="4"/>
      <c r="L105" s="4"/>
      <c r="M105" s="4"/>
      <c r="N105" s="4"/>
    </row>
    <row r="106" spans="1:18" ht="30" customHeight="1">
      <c r="A106" s="4"/>
      <c r="H106" s="4"/>
      <c r="I106" s="4"/>
      <c r="J106" s="4"/>
      <c r="K106" s="4"/>
      <c r="L106" s="4"/>
      <c r="M106" s="4"/>
      <c r="N106" s="4"/>
    </row>
    <row r="107" spans="1:18" ht="15.75" customHeight="1">
      <c r="A107" s="4"/>
      <c r="G107" s="4"/>
      <c r="H107" s="4"/>
      <c r="I107" s="4"/>
      <c r="J107" s="4"/>
      <c r="K107" s="4"/>
      <c r="L107" s="4"/>
      <c r="M107" s="4"/>
      <c r="N107" s="4"/>
    </row>
    <row r="108" spans="1:18" ht="15.75" customHeight="1">
      <c r="A108" s="4"/>
      <c r="G108" s="4"/>
      <c r="H108" s="4"/>
      <c r="I108" s="4"/>
      <c r="J108" s="4"/>
      <c r="K108" s="4"/>
      <c r="L108" s="4"/>
      <c r="M108" s="4"/>
      <c r="N108" s="4"/>
    </row>
    <row r="109" spans="1:18" ht="15.75" customHeight="1">
      <c r="A109" s="4"/>
      <c r="G109" s="4"/>
      <c r="H109" s="4"/>
      <c r="I109" s="4"/>
      <c r="J109" s="4"/>
      <c r="K109" s="4"/>
      <c r="L109" s="4"/>
      <c r="M109" s="4"/>
      <c r="N109" s="4"/>
    </row>
    <row r="110" spans="1:18" ht="15.75" customHeight="1"/>
    <row r="111" spans="1:18" ht="15.75" customHeight="1"/>
    <row r="112" spans="1:18"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6">
    <mergeCell ref="D2:E2"/>
    <mergeCell ref="C97:F97"/>
    <mergeCell ref="C99:F99"/>
    <mergeCell ref="J103:M103"/>
    <mergeCell ref="B84:F84"/>
    <mergeCell ref="C85:F85"/>
    <mergeCell ref="C87:F87"/>
    <mergeCell ref="B90:F90"/>
    <mergeCell ref="C91:F91"/>
    <mergeCell ref="C93:F93"/>
    <mergeCell ref="B96:F96"/>
    <mergeCell ref="B73:F73"/>
    <mergeCell ref="C74:F74"/>
    <mergeCell ref="C76:F76"/>
    <mergeCell ref="C78:F78"/>
    <mergeCell ref="B81:F81"/>
    <mergeCell ref="B62:F62"/>
    <mergeCell ref="C63:F63"/>
    <mergeCell ref="C65:F65"/>
    <mergeCell ref="C67:F67"/>
    <mergeCell ref="B70:F70"/>
    <mergeCell ref="B51:F51"/>
    <mergeCell ref="C52:F52"/>
    <mergeCell ref="C54:F54"/>
    <mergeCell ref="C56:F56"/>
    <mergeCell ref="B59:F59"/>
    <mergeCell ref="B39:F39"/>
    <mergeCell ref="C40:F40"/>
    <mergeCell ref="C42:F42"/>
    <mergeCell ref="B45:F45"/>
    <mergeCell ref="B48:F48"/>
    <mergeCell ref="C28:F28"/>
    <mergeCell ref="B31:F31"/>
    <mergeCell ref="C32:F32"/>
    <mergeCell ref="C34:F34"/>
    <mergeCell ref="C36:F36"/>
    <mergeCell ref="C18:F18"/>
    <mergeCell ref="C20:F20"/>
    <mergeCell ref="B23:F23"/>
    <mergeCell ref="C24:F24"/>
    <mergeCell ref="C26:F26"/>
    <mergeCell ref="A3:G3"/>
    <mergeCell ref="D9:E9"/>
    <mergeCell ref="B11:F11"/>
    <mergeCell ref="C12:F12"/>
    <mergeCell ref="C16:F16"/>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4FEC4"/>
  </sheetPr>
  <dimension ref="A1:Z995"/>
  <sheetViews>
    <sheetView zoomScale="69" workbookViewId="0">
      <pane xSplit="7" ySplit="11" topLeftCell="H84" activePane="bottomRight" state="frozen"/>
      <selection pane="topRight" activeCell="H1" sqref="H1"/>
      <selection pane="bottomLeft" activeCell="A12" sqref="A12"/>
      <selection pane="bottomRight" activeCell="I6" sqref="I6"/>
    </sheetView>
  </sheetViews>
  <sheetFormatPr baseColWidth="10" defaultColWidth="11.125" defaultRowHeight="15" customHeight="1"/>
  <cols>
    <col min="1" max="1" width="8.5" customWidth="1"/>
    <col min="2" max="2" width="18.125" customWidth="1"/>
    <col min="3" max="3" width="33.375" customWidth="1"/>
    <col min="4" max="4" width="26.5" customWidth="1"/>
    <col min="5" max="5" width="20.5" customWidth="1"/>
    <col min="6" max="6" width="14.625" customWidth="1"/>
    <col min="7" max="7" width="12.5" customWidth="1"/>
    <col min="8" max="8" width="15.5" customWidth="1"/>
    <col min="9" max="9" width="12.5" customWidth="1"/>
    <col min="10" max="10" width="15.5" customWidth="1"/>
    <col min="11" max="11" width="12.5" customWidth="1"/>
    <col min="12" max="12" width="15.5" customWidth="1"/>
    <col min="13" max="14" width="12.5" customWidth="1"/>
    <col min="15" max="26" width="10.875" customWidth="1"/>
  </cols>
  <sheetData>
    <row r="1" spans="1:26" ht="15.75" customHeight="1">
      <c r="A1" s="562" t="s">
        <v>32</v>
      </c>
      <c r="B1" s="516"/>
      <c r="C1" s="516"/>
      <c r="D1" s="516"/>
      <c r="E1" s="516"/>
      <c r="F1" s="516"/>
      <c r="G1" s="517"/>
      <c r="H1" s="1"/>
      <c r="I1" s="1"/>
      <c r="J1" s="1"/>
      <c r="K1" s="1"/>
      <c r="L1" s="1"/>
      <c r="M1" s="1"/>
      <c r="N1" s="1"/>
      <c r="O1" s="1"/>
      <c r="P1" s="1"/>
      <c r="Q1" s="1"/>
      <c r="R1" s="1"/>
      <c r="S1" s="1"/>
      <c r="T1" s="1"/>
      <c r="U1" s="1"/>
      <c r="V1" s="1"/>
      <c r="W1" s="1"/>
      <c r="X1" s="1"/>
      <c r="Y1" s="1"/>
      <c r="Z1" s="1"/>
    </row>
    <row r="2" spans="1:26" ht="15.75" customHeight="1" thickBot="1">
      <c r="A2" s="6"/>
      <c r="B2" s="6"/>
      <c r="C2" s="6"/>
      <c r="D2" s="6"/>
      <c r="E2" s="6"/>
      <c r="F2" s="6"/>
      <c r="G2" s="6"/>
      <c r="H2" s="6"/>
      <c r="I2" s="6"/>
      <c r="J2" s="6"/>
      <c r="K2" s="6"/>
      <c r="L2" s="6"/>
      <c r="M2" s="6"/>
      <c r="N2" s="6"/>
      <c r="O2" s="6"/>
      <c r="P2" s="6"/>
      <c r="Q2" s="6"/>
      <c r="R2" s="6"/>
      <c r="S2" s="6"/>
      <c r="T2" s="6"/>
      <c r="U2" s="6"/>
      <c r="V2" s="6"/>
      <c r="W2" s="6"/>
      <c r="X2" s="6"/>
      <c r="Y2" s="6"/>
      <c r="Z2" s="6"/>
    </row>
    <row r="3" spans="1:26" ht="15.75" customHeight="1">
      <c r="A3" s="192"/>
      <c r="B3" s="3" t="s">
        <v>807</v>
      </c>
      <c r="C3" s="192"/>
      <c r="D3" s="192"/>
      <c r="E3" s="192"/>
      <c r="F3" s="192"/>
      <c r="G3" s="192"/>
      <c r="K3" s="238" t="s">
        <v>288</v>
      </c>
      <c r="L3" s="239"/>
      <c r="M3" s="239"/>
      <c r="N3" s="240"/>
      <c r="O3" s="240"/>
      <c r="P3" s="241"/>
      <c r="Q3" s="192"/>
      <c r="R3" s="192"/>
      <c r="S3" s="192"/>
      <c r="T3" s="192"/>
      <c r="U3" s="192"/>
      <c r="V3" s="192"/>
      <c r="W3" s="192"/>
      <c r="X3" s="192"/>
      <c r="Y3" s="192"/>
      <c r="Z3" s="192"/>
    </row>
    <row r="4" spans="1:26" ht="15.75" customHeight="1">
      <c r="A4" s="12"/>
      <c r="B4" s="33" t="s">
        <v>111</v>
      </c>
      <c r="C4" s="12"/>
      <c r="D4" s="12"/>
      <c r="E4" s="12"/>
      <c r="F4" s="12"/>
      <c r="G4" s="12"/>
      <c r="K4" s="242"/>
      <c r="L4" s="243"/>
      <c r="M4" s="243"/>
      <c r="N4" s="244"/>
      <c r="O4" s="244"/>
      <c r="P4" s="245"/>
      <c r="Q4" s="12"/>
      <c r="R4" s="12"/>
      <c r="S4" s="12"/>
      <c r="T4" s="12"/>
      <c r="U4" s="12"/>
      <c r="V4" s="12"/>
      <c r="W4" s="12"/>
      <c r="X4" s="12"/>
      <c r="Y4" s="12"/>
      <c r="Z4" s="12"/>
    </row>
    <row r="5" spans="1:26" ht="15.75" customHeight="1">
      <c r="A5" s="12"/>
      <c r="B5" s="34" t="s">
        <v>112</v>
      </c>
      <c r="C5" s="12"/>
      <c r="D5" s="12"/>
      <c r="E5" s="12"/>
      <c r="F5" s="12"/>
      <c r="G5" s="12"/>
      <c r="K5" s="246" t="s">
        <v>289</v>
      </c>
      <c r="L5" s="247"/>
      <c r="M5" s="247" t="s">
        <v>290</v>
      </c>
      <c r="N5" s="248" t="s">
        <v>291</v>
      </c>
      <c r="O5" s="248"/>
      <c r="P5" s="249"/>
      <c r="Q5" s="12"/>
      <c r="R5" s="12"/>
      <c r="S5" s="12"/>
      <c r="T5" s="12"/>
      <c r="U5" s="12"/>
      <c r="V5" s="12"/>
      <c r="W5" s="12"/>
      <c r="X5" s="12"/>
      <c r="Y5" s="12"/>
      <c r="Z5" s="12"/>
    </row>
    <row r="6" spans="1:26" ht="15.75" customHeight="1">
      <c r="A6" s="12"/>
      <c r="B6" s="143" t="s">
        <v>244</v>
      </c>
      <c r="C6" s="12"/>
      <c r="D6" s="12"/>
      <c r="E6" s="12"/>
      <c r="F6" s="12"/>
      <c r="G6" s="12"/>
      <c r="K6" s="246" t="s">
        <v>292</v>
      </c>
      <c r="L6" s="247"/>
      <c r="M6" s="247" t="s">
        <v>293</v>
      </c>
      <c r="N6" s="248" t="s">
        <v>294</v>
      </c>
      <c r="O6" s="248"/>
      <c r="P6" s="249"/>
      <c r="Q6" s="12"/>
      <c r="R6" s="12"/>
      <c r="S6" s="12"/>
      <c r="T6" s="12"/>
      <c r="U6" s="12"/>
      <c r="V6" s="12"/>
      <c r="W6" s="12"/>
      <c r="X6" s="12"/>
      <c r="Y6" s="12"/>
      <c r="Z6" s="12"/>
    </row>
    <row r="7" spans="1:26" ht="15.75" customHeight="1">
      <c r="A7" s="12"/>
      <c r="B7" s="3" t="s">
        <v>166</v>
      </c>
      <c r="C7" s="12"/>
      <c r="D7" s="12"/>
      <c r="E7" s="12"/>
      <c r="F7" s="12"/>
      <c r="G7" s="12"/>
      <c r="K7" s="246" t="s">
        <v>295</v>
      </c>
      <c r="L7" s="247"/>
      <c r="M7" s="247" t="s">
        <v>296</v>
      </c>
      <c r="N7" s="248" t="s">
        <v>297</v>
      </c>
      <c r="O7" s="248"/>
      <c r="P7" s="249"/>
      <c r="Q7" s="12"/>
      <c r="R7" s="12"/>
      <c r="S7" s="12"/>
      <c r="T7" s="12"/>
      <c r="U7" s="12"/>
      <c r="V7" s="12"/>
      <c r="W7" s="12"/>
      <c r="X7" s="12"/>
      <c r="Y7" s="12"/>
      <c r="Z7" s="12"/>
    </row>
    <row r="8" spans="1:26" ht="15.75" customHeight="1" thickBot="1">
      <c r="A8" s="1"/>
      <c r="B8" s="1"/>
      <c r="C8" s="1"/>
      <c r="D8" s="1"/>
      <c r="E8" s="1"/>
      <c r="F8" s="1"/>
      <c r="G8" s="1"/>
      <c r="K8" s="250"/>
      <c r="L8" s="251"/>
      <c r="M8" s="251"/>
      <c r="N8" s="251"/>
      <c r="O8" s="251"/>
      <c r="P8" s="252"/>
      <c r="Q8" s="1"/>
      <c r="R8" s="1"/>
      <c r="S8" s="1"/>
      <c r="T8" s="1"/>
      <c r="U8" s="1"/>
      <c r="V8" s="1"/>
      <c r="W8" s="1"/>
      <c r="X8" s="1"/>
      <c r="Y8" s="1"/>
      <c r="Z8" s="1"/>
    </row>
    <row r="9" spans="1:26" ht="15.75" customHeight="1">
      <c r="A9" s="1"/>
      <c r="H9" s="1"/>
      <c r="I9" s="1"/>
      <c r="J9" s="1"/>
      <c r="K9" s="1"/>
      <c r="L9" s="1"/>
      <c r="M9" s="1"/>
      <c r="N9" s="1"/>
      <c r="O9" s="1"/>
      <c r="P9" s="1"/>
      <c r="Q9" s="1"/>
      <c r="R9" s="1"/>
      <c r="S9" s="1"/>
      <c r="T9" s="1"/>
      <c r="U9" s="1"/>
      <c r="V9" s="1"/>
      <c r="W9" s="1"/>
      <c r="X9" s="1"/>
      <c r="Y9" s="1"/>
      <c r="Z9" s="1"/>
    </row>
    <row r="10" spans="1:26" ht="15.75" customHeight="1">
      <c r="A10" s="1"/>
      <c r="B10" s="1"/>
      <c r="C10" s="1"/>
      <c r="D10" s="1"/>
      <c r="E10" s="1"/>
      <c r="F10" s="1"/>
      <c r="G10" s="1"/>
      <c r="H10" s="1"/>
      <c r="I10" s="1"/>
      <c r="J10" s="1"/>
      <c r="K10" s="1"/>
      <c r="L10" s="1"/>
      <c r="M10" s="1"/>
      <c r="N10" s="4"/>
      <c r="O10" s="1"/>
      <c r="P10" s="1"/>
      <c r="Q10" s="1"/>
      <c r="R10" s="1"/>
      <c r="S10" s="1"/>
      <c r="T10" s="1"/>
      <c r="U10" s="1"/>
      <c r="V10" s="1"/>
      <c r="W10" s="1"/>
      <c r="X10" s="1"/>
      <c r="Y10" s="1"/>
      <c r="Z10" s="1"/>
    </row>
    <row r="11" spans="1:26" ht="60" customHeight="1">
      <c r="A11" s="253" t="s">
        <v>298</v>
      </c>
      <c r="B11" s="254" t="s">
        <v>240</v>
      </c>
      <c r="C11" s="254" t="s">
        <v>167</v>
      </c>
      <c r="D11" s="255" t="s">
        <v>299</v>
      </c>
      <c r="E11" s="254" t="s">
        <v>300</v>
      </c>
      <c r="F11" s="256" t="s">
        <v>301</v>
      </c>
      <c r="G11" s="254" t="s">
        <v>302</v>
      </c>
      <c r="H11" s="257" t="s">
        <v>303</v>
      </c>
      <c r="I11" s="254" t="s">
        <v>302</v>
      </c>
      <c r="J11" s="254" t="s">
        <v>304</v>
      </c>
      <c r="K11" s="254" t="s">
        <v>302</v>
      </c>
      <c r="L11" s="254" t="s">
        <v>305</v>
      </c>
      <c r="M11" s="254" t="s">
        <v>302</v>
      </c>
      <c r="N11" s="258" t="s">
        <v>188</v>
      </c>
      <c r="O11" s="1"/>
      <c r="P11" s="1"/>
      <c r="Q11" s="1"/>
      <c r="R11" s="1"/>
      <c r="S11" s="1"/>
      <c r="T11" s="1"/>
      <c r="U11" s="1"/>
      <c r="V11" s="1"/>
      <c r="W11" s="1"/>
      <c r="X11" s="1"/>
      <c r="Y11" s="1"/>
      <c r="Z11" s="1"/>
    </row>
    <row r="12" spans="1:26" ht="15.75" customHeight="1">
      <c r="A12" s="259" t="s">
        <v>136</v>
      </c>
      <c r="B12" s="260" t="s">
        <v>148</v>
      </c>
      <c r="C12" s="269"/>
      <c r="D12" s="270" t="s">
        <v>307</v>
      </c>
      <c r="E12" s="271"/>
      <c r="F12" s="264"/>
      <c r="G12" s="266">
        <f t="shared" ref="G12" si="0">((F12*6.3)+(F12*1.6)+(F12*0.51))/3</f>
        <v>0</v>
      </c>
      <c r="H12" s="265">
        <v>21</v>
      </c>
      <c r="I12" s="267">
        <f t="shared" ref="I12" si="1">(H12*6.3)</f>
        <v>132.29999999999998</v>
      </c>
      <c r="J12" s="265">
        <v>125</v>
      </c>
      <c r="K12" s="267">
        <f t="shared" ref="K12" si="2">(J12*1.6)</f>
        <v>200</v>
      </c>
      <c r="L12" s="265">
        <v>179</v>
      </c>
      <c r="M12" s="267">
        <f t="shared" ref="M12" si="3">(L12*0.51)</f>
        <v>91.29</v>
      </c>
      <c r="N12" s="268">
        <f t="shared" ref="N12" si="4">F12+H12+L12+J12</f>
        <v>325</v>
      </c>
      <c r="O12" s="1"/>
      <c r="P12" s="1"/>
      <c r="Q12" s="1"/>
      <c r="R12" s="1"/>
      <c r="S12" s="1"/>
      <c r="T12" s="1"/>
      <c r="U12" s="1"/>
      <c r="V12" s="1"/>
      <c r="W12" s="1"/>
      <c r="X12" s="1"/>
      <c r="Y12" s="1"/>
      <c r="Z12" s="1"/>
    </row>
    <row r="13" spans="1:26" ht="15.75" customHeight="1">
      <c r="A13" s="259"/>
      <c r="B13" s="260"/>
      <c r="C13" s="261"/>
      <c r="D13" s="262"/>
      <c r="E13" s="81"/>
      <c r="F13" s="264"/>
      <c r="G13" s="266"/>
      <c r="H13" s="265"/>
      <c r="I13" s="267"/>
      <c r="J13" s="265"/>
      <c r="K13" s="267"/>
      <c r="L13" s="265"/>
      <c r="M13" s="267"/>
      <c r="N13" s="268"/>
      <c r="O13" s="1"/>
      <c r="P13" s="1"/>
      <c r="Q13" s="1"/>
      <c r="R13" s="1"/>
      <c r="S13" s="1"/>
      <c r="T13" s="1"/>
      <c r="U13" s="1"/>
      <c r="V13" s="1"/>
      <c r="W13" s="1"/>
      <c r="X13" s="1"/>
      <c r="Y13" s="1"/>
      <c r="Z13" s="1"/>
    </row>
    <row r="14" spans="1:26" ht="15.75" customHeight="1">
      <c r="A14" s="259"/>
      <c r="B14" s="260"/>
      <c r="C14" s="261"/>
      <c r="D14" s="262"/>
      <c r="E14" s="81"/>
      <c r="F14" s="264"/>
      <c r="G14" s="266"/>
      <c r="H14" s="265"/>
      <c r="I14" s="267"/>
      <c r="J14" s="265"/>
      <c r="K14" s="267"/>
      <c r="L14" s="265"/>
      <c r="M14" s="267"/>
      <c r="N14" s="268"/>
      <c r="O14" s="1"/>
      <c r="P14" s="1"/>
      <c r="Q14" s="1"/>
      <c r="R14" s="1"/>
      <c r="S14" s="1"/>
      <c r="T14" s="1"/>
      <c r="U14" s="1"/>
      <c r="V14" s="1"/>
      <c r="W14" s="1"/>
      <c r="X14" s="1"/>
      <c r="Y14" s="1"/>
      <c r="Z14" s="1"/>
    </row>
    <row r="15" spans="1:26" ht="15.75" customHeight="1">
      <c r="A15" s="259"/>
      <c r="B15" s="260"/>
      <c r="C15" s="261"/>
      <c r="D15" s="262"/>
      <c r="E15" s="263"/>
      <c r="F15" s="264"/>
      <c r="G15" s="266"/>
      <c r="H15" s="265"/>
      <c r="I15" s="267"/>
      <c r="J15" s="265"/>
      <c r="K15" s="267"/>
      <c r="L15" s="265"/>
      <c r="M15" s="267"/>
      <c r="N15" s="268"/>
      <c r="O15" s="1"/>
      <c r="P15" s="1"/>
      <c r="Q15" s="1"/>
      <c r="R15" s="1"/>
      <c r="S15" s="1"/>
      <c r="T15" s="1"/>
      <c r="U15" s="1"/>
      <c r="V15" s="1"/>
      <c r="W15" s="1"/>
      <c r="X15" s="1"/>
      <c r="Y15" s="1"/>
      <c r="Z15" s="1"/>
    </row>
    <row r="16" spans="1:26" ht="15.75" customHeight="1">
      <c r="A16" s="259"/>
      <c r="B16" s="260"/>
      <c r="C16" s="261"/>
      <c r="D16" s="262"/>
      <c r="E16" s="81"/>
      <c r="F16" s="264"/>
      <c r="G16" s="266"/>
      <c r="H16" s="265"/>
      <c r="I16" s="267"/>
      <c r="J16" s="265"/>
      <c r="K16" s="267"/>
      <c r="L16" s="265"/>
      <c r="M16" s="267"/>
      <c r="N16" s="268"/>
      <c r="O16" s="1"/>
      <c r="P16" s="1"/>
      <c r="Q16" s="1"/>
      <c r="R16" s="1"/>
      <c r="S16" s="1"/>
      <c r="T16" s="1"/>
      <c r="U16" s="1"/>
      <c r="V16" s="1"/>
      <c r="W16" s="1"/>
      <c r="X16" s="1"/>
      <c r="Y16" s="1"/>
      <c r="Z16" s="1"/>
    </row>
    <row r="17" spans="1:26" ht="15.75" customHeight="1">
      <c r="A17" s="259"/>
      <c r="B17" s="260"/>
      <c r="C17" s="261"/>
      <c r="D17" s="262"/>
      <c r="E17" s="81"/>
      <c r="F17" s="264"/>
      <c r="G17" s="266"/>
      <c r="H17" s="265"/>
      <c r="I17" s="267"/>
      <c r="J17" s="265"/>
      <c r="K17" s="267"/>
      <c r="L17" s="265"/>
      <c r="M17" s="267"/>
      <c r="N17" s="268"/>
      <c r="O17" s="1"/>
      <c r="P17" s="1"/>
      <c r="Q17" s="1"/>
      <c r="R17" s="1"/>
      <c r="S17" s="1"/>
      <c r="T17" s="1"/>
      <c r="U17" s="1"/>
      <c r="V17" s="1"/>
      <c r="W17" s="1"/>
      <c r="X17" s="1"/>
      <c r="Y17" s="1"/>
      <c r="Z17" s="1"/>
    </row>
    <row r="18" spans="1:26" ht="15.75" customHeight="1">
      <c r="A18" s="81"/>
      <c r="B18" s="260"/>
      <c r="C18" s="269"/>
      <c r="D18" s="270"/>
      <c r="E18" s="271"/>
      <c r="F18" s="264"/>
      <c r="G18" s="266"/>
      <c r="H18" s="265"/>
      <c r="I18" s="267"/>
      <c r="J18" s="265"/>
      <c r="K18" s="267"/>
      <c r="L18" s="265"/>
      <c r="M18" s="267"/>
      <c r="N18" s="268"/>
      <c r="O18" s="1"/>
      <c r="P18" s="1"/>
      <c r="Q18" s="1"/>
      <c r="R18" s="1"/>
      <c r="S18" s="1"/>
      <c r="T18" s="1"/>
      <c r="U18" s="1"/>
      <c r="V18" s="1"/>
      <c r="W18" s="1"/>
      <c r="X18" s="1"/>
      <c r="Y18" s="1"/>
      <c r="Z18" s="1"/>
    </row>
    <row r="19" spans="1:26" ht="15.75" customHeight="1">
      <c r="A19" s="259"/>
      <c r="B19" s="260"/>
      <c r="C19" s="269"/>
      <c r="D19" s="270"/>
      <c r="E19" s="271"/>
      <c r="F19" s="264"/>
      <c r="G19" s="266"/>
      <c r="H19" s="265"/>
      <c r="I19" s="267"/>
      <c r="J19" s="265"/>
      <c r="K19" s="267"/>
      <c r="L19" s="265"/>
      <c r="M19" s="267"/>
      <c r="N19" s="268"/>
      <c r="O19" s="1"/>
      <c r="P19" s="1"/>
      <c r="Q19" s="1"/>
      <c r="R19" s="1"/>
      <c r="S19" s="1"/>
      <c r="T19" s="1"/>
      <c r="U19" s="1"/>
      <c r="V19" s="1"/>
      <c r="W19" s="1"/>
      <c r="X19" s="1"/>
      <c r="Y19" s="1"/>
      <c r="Z19" s="1"/>
    </row>
    <row r="20" spans="1:26" ht="15.75" customHeight="1">
      <c r="A20" s="259"/>
      <c r="B20" s="260"/>
      <c r="C20" s="269"/>
      <c r="D20" s="270"/>
      <c r="E20" s="271"/>
      <c r="F20" s="264"/>
      <c r="G20" s="266"/>
      <c r="H20" s="265"/>
      <c r="I20" s="267"/>
      <c r="J20" s="265"/>
      <c r="K20" s="267"/>
      <c r="L20" s="265"/>
      <c r="M20" s="267"/>
      <c r="N20" s="268"/>
      <c r="O20" s="1"/>
      <c r="P20" s="1"/>
      <c r="Q20" s="1"/>
      <c r="R20" s="1"/>
      <c r="S20" s="1"/>
      <c r="T20" s="1"/>
      <c r="U20" s="1"/>
      <c r="V20" s="1"/>
      <c r="W20" s="1"/>
      <c r="X20" s="1"/>
      <c r="Y20" s="1"/>
      <c r="Z20" s="1"/>
    </row>
    <row r="21" spans="1:26" ht="15.75" customHeight="1">
      <c r="A21" s="259"/>
      <c r="B21" s="260"/>
      <c r="C21" s="271"/>
      <c r="D21" s="270"/>
      <c r="E21" s="271"/>
      <c r="F21" s="264"/>
      <c r="G21" s="266"/>
      <c r="H21" s="265"/>
      <c r="I21" s="267"/>
      <c r="J21" s="265"/>
      <c r="K21" s="267"/>
      <c r="L21" s="265"/>
      <c r="M21" s="267"/>
      <c r="N21" s="268"/>
      <c r="O21" s="1"/>
      <c r="P21" s="1"/>
      <c r="Q21" s="1"/>
      <c r="R21" s="1"/>
      <c r="S21" s="1"/>
      <c r="T21" s="1"/>
      <c r="U21" s="1"/>
      <c r="V21" s="1"/>
      <c r="W21" s="1"/>
      <c r="X21" s="1"/>
      <c r="Y21" s="1"/>
      <c r="Z21" s="1"/>
    </row>
    <row r="22" spans="1:26" ht="15.75" customHeight="1">
      <c r="A22" s="259"/>
      <c r="B22" s="260"/>
      <c r="C22" s="271"/>
      <c r="D22" s="270"/>
      <c r="E22" s="271"/>
      <c r="F22" s="264"/>
      <c r="G22" s="272"/>
      <c r="H22" s="265"/>
      <c r="I22" s="267"/>
      <c r="J22" s="265"/>
      <c r="K22" s="267"/>
      <c r="L22" s="265"/>
      <c r="M22" s="267"/>
      <c r="N22" s="268"/>
      <c r="O22" s="1"/>
      <c r="P22" s="1"/>
      <c r="Q22" s="1"/>
      <c r="R22" s="1"/>
      <c r="S22" s="1"/>
      <c r="T22" s="1"/>
      <c r="U22" s="1"/>
      <c r="V22" s="1"/>
      <c r="W22" s="1"/>
      <c r="X22" s="1"/>
      <c r="Y22" s="1"/>
      <c r="Z22" s="1"/>
    </row>
    <row r="23" spans="1:26" ht="15.75" customHeight="1">
      <c r="A23" s="259"/>
      <c r="B23" s="260"/>
      <c r="C23" s="271"/>
      <c r="D23" s="270"/>
      <c r="E23" s="271"/>
      <c r="F23" s="264"/>
      <c r="G23" s="272"/>
      <c r="H23" s="265"/>
      <c r="I23" s="267"/>
      <c r="J23" s="265"/>
      <c r="K23" s="267"/>
      <c r="L23" s="265"/>
      <c r="M23" s="267"/>
      <c r="N23" s="268"/>
      <c r="O23" s="1"/>
      <c r="P23" s="1"/>
      <c r="Q23" s="1"/>
      <c r="R23" s="1"/>
      <c r="S23" s="1"/>
      <c r="T23" s="1"/>
      <c r="U23" s="1"/>
      <c r="V23" s="1"/>
      <c r="W23" s="1"/>
      <c r="X23" s="1"/>
      <c r="Y23" s="1"/>
      <c r="Z23" s="1"/>
    </row>
    <row r="24" spans="1:26" ht="15.75" customHeight="1">
      <c r="A24" s="259"/>
      <c r="B24" s="260"/>
      <c r="C24" s="271"/>
      <c r="D24" s="270"/>
      <c r="E24" s="271"/>
      <c r="F24" s="264"/>
      <c r="G24" s="272"/>
      <c r="H24" s="265"/>
      <c r="I24" s="267"/>
      <c r="J24" s="265"/>
      <c r="K24" s="267"/>
      <c r="L24" s="265"/>
      <c r="M24" s="267"/>
      <c r="N24" s="268"/>
      <c r="O24" s="1"/>
      <c r="P24" s="1"/>
      <c r="Q24" s="1"/>
      <c r="R24" s="1"/>
      <c r="S24" s="1"/>
      <c r="T24" s="1"/>
      <c r="U24" s="1"/>
      <c r="V24" s="1"/>
      <c r="W24" s="1"/>
      <c r="X24" s="1"/>
      <c r="Y24" s="1"/>
      <c r="Z24" s="1"/>
    </row>
    <row r="25" spans="1:26" ht="15.75" customHeight="1">
      <c r="A25" s="259"/>
      <c r="B25" s="260"/>
      <c r="C25" s="271"/>
      <c r="D25" s="270"/>
      <c r="E25" s="271"/>
      <c r="F25" s="264"/>
      <c r="G25" s="266"/>
      <c r="H25" s="265"/>
      <c r="I25" s="267"/>
      <c r="J25" s="265"/>
      <c r="K25" s="267"/>
      <c r="L25" s="265"/>
      <c r="M25" s="267"/>
      <c r="N25" s="268"/>
      <c r="O25" s="1"/>
      <c r="P25" s="1"/>
      <c r="Q25" s="1"/>
      <c r="R25" s="1"/>
      <c r="S25" s="1"/>
      <c r="T25" s="1"/>
      <c r="U25" s="1"/>
      <c r="V25" s="1"/>
      <c r="W25" s="1"/>
      <c r="X25" s="1"/>
      <c r="Y25" s="1"/>
      <c r="Z25" s="1"/>
    </row>
    <row r="26" spans="1:26" ht="15.75" customHeight="1">
      <c r="A26" s="273"/>
      <c r="B26" s="260"/>
      <c r="C26" s="271"/>
      <c r="D26" s="270"/>
      <c r="E26" s="271"/>
      <c r="F26" s="274"/>
      <c r="G26" s="275"/>
      <c r="H26" s="265"/>
      <c r="I26" s="267"/>
      <c r="J26" s="265"/>
      <c r="K26" s="267"/>
      <c r="L26" s="265"/>
      <c r="M26" s="267"/>
      <c r="N26" s="268"/>
      <c r="O26" s="1"/>
      <c r="P26" s="1"/>
      <c r="Q26" s="1"/>
      <c r="R26" s="1"/>
      <c r="S26" s="1"/>
      <c r="T26" s="1"/>
      <c r="U26" s="1"/>
      <c r="V26" s="1"/>
      <c r="W26" s="1"/>
      <c r="X26" s="1"/>
      <c r="Y26" s="1"/>
      <c r="Z26" s="1"/>
    </row>
    <row r="27" spans="1:26" ht="15.75" customHeight="1">
      <c r="A27" s="259"/>
      <c r="B27" s="260"/>
      <c r="C27" s="271"/>
      <c r="D27" s="276"/>
      <c r="E27" s="277"/>
      <c r="F27" s="274"/>
      <c r="G27" s="275"/>
      <c r="H27" s="265"/>
      <c r="I27" s="267"/>
      <c r="J27" s="265"/>
      <c r="K27" s="267"/>
      <c r="L27" s="265"/>
      <c r="M27" s="267"/>
      <c r="N27" s="268"/>
      <c r="O27" s="1"/>
      <c r="P27" s="1"/>
      <c r="Q27" s="1"/>
      <c r="R27" s="1"/>
      <c r="S27" s="1"/>
      <c r="T27" s="1"/>
      <c r="U27" s="1"/>
      <c r="V27" s="1"/>
      <c r="W27" s="1"/>
      <c r="X27" s="1"/>
      <c r="Y27" s="1"/>
      <c r="Z27" s="1"/>
    </row>
    <row r="28" spans="1:26" ht="15.75" customHeight="1">
      <c r="A28" s="259"/>
      <c r="B28" s="260"/>
      <c r="C28" s="271"/>
      <c r="D28" s="278"/>
      <c r="E28" s="279"/>
      <c r="F28" s="264"/>
      <c r="G28" s="275"/>
      <c r="H28" s="265"/>
      <c r="I28" s="267"/>
      <c r="J28" s="265"/>
      <c r="K28" s="267"/>
      <c r="L28" s="265"/>
      <c r="M28" s="267"/>
      <c r="N28" s="268"/>
      <c r="O28" s="1"/>
      <c r="P28" s="1"/>
      <c r="Q28" s="1"/>
      <c r="R28" s="1"/>
      <c r="S28" s="1"/>
      <c r="T28" s="1"/>
      <c r="U28" s="1"/>
      <c r="V28" s="1"/>
      <c r="W28" s="1"/>
      <c r="X28" s="1"/>
      <c r="Y28" s="1"/>
      <c r="Z28" s="1"/>
    </row>
    <row r="29" spans="1:26" ht="15.75" customHeight="1">
      <c r="A29" s="259"/>
      <c r="B29" s="260"/>
      <c r="C29" s="280"/>
      <c r="D29" s="262"/>
      <c r="E29" s="281"/>
      <c r="F29" s="264"/>
      <c r="G29" s="275"/>
      <c r="H29" s="265"/>
      <c r="I29" s="267"/>
      <c r="J29" s="265"/>
      <c r="K29" s="267"/>
      <c r="L29" s="265"/>
      <c r="M29" s="267"/>
      <c r="N29" s="268"/>
      <c r="O29" s="1"/>
      <c r="P29" s="1"/>
      <c r="Q29" s="1"/>
      <c r="R29" s="1"/>
      <c r="S29" s="1"/>
      <c r="T29" s="1"/>
      <c r="U29" s="1"/>
      <c r="V29" s="1"/>
      <c r="W29" s="1"/>
      <c r="X29" s="1"/>
      <c r="Y29" s="1"/>
      <c r="Z29" s="1"/>
    </row>
    <row r="30" spans="1:26" ht="15.75" customHeight="1">
      <c r="A30" s="259"/>
      <c r="B30" s="260"/>
      <c r="C30" s="271"/>
      <c r="D30" s="262"/>
      <c r="E30" s="281"/>
      <c r="F30" s="264"/>
      <c r="G30" s="275"/>
      <c r="H30" s="265"/>
      <c r="I30" s="267"/>
      <c r="J30" s="265"/>
      <c r="K30" s="267"/>
      <c r="L30" s="265"/>
      <c r="M30" s="267"/>
      <c r="N30" s="268"/>
      <c r="O30" s="1"/>
      <c r="P30" s="1"/>
      <c r="Q30" s="1"/>
      <c r="R30" s="1"/>
      <c r="S30" s="1"/>
      <c r="T30" s="1"/>
      <c r="U30" s="1"/>
      <c r="V30" s="1"/>
      <c r="W30" s="1"/>
      <c r="X30" s="1"/>
      <c r="Y30" s="1"/>
      <c r="Z30" s="1"/>
    </row>
    <row r="31" spans="1:26" ht="15.75" customHeight="1">
      <c r="A31" s="259"/>
      <c r="B31" s="260"/>
      <c r="C31" s="53"/>
      <c r="D31" s="262"/>
      <c r="E31" s="282"/>
      <c r="F31" s="264"/>
      <c r="G31" s="266"/>
      <c r="H31" s="265"/>
      <c r="I31" s="267"/>
      <c r="J31" s="265"/>
      <c r="K31" s="267"/>
      <c r="L31" s="265"/>
      <c r="M31" s="267"/>
      <c r="N31" s="268"/>
      <c r="O31" s="1"/>
      <c r="P31" s="1"/>
      <c r="Q31" s="1"/>
      <c r="R31" s="1"/>
      <c r="S31" s="1"/>
      <c r="T31" s="1"/>
      <c r="U31" s="1"/>
      <c r="V31" s="1"/>
      <c r="W31" s="1"/>
      <c r="X31" s="1"/>
      <c r="Y31" s="1"/>
      <c r="Z31" s="1"/>
    </row>
    <row r="32" spans="1:26" ht="15.75" customHeight="1">
      <c r="A32" s="259"/>
      <c r="B32" s="260"/>
      <c r="C32" s="53"/>
      <c r="D32" s="262"/>
      <c r="E32" s="282"/>
      <c r="F32" s="264"/>
      <c r="G32" s="266"/>
      <c r="H32" s="265"/>
      <c r="I32" s="267"/>
      <c r="J32" s="265"/>
      <c r="K32" s="267"/>
      <c r="L32" s="265"/>
      <c r="M32" s="267"/>
      <c r="N32" s="268"/>
      <c r="O32" s="1"/>
      <c r="P32" s="1"/>
      <c r="Q32" s="1"/>
      <c r="R32" s="1"/>
      <c r="S32" s="1"/>
      <c r="T32" s="1"/>
      <c r="U32" s="1"/>
      <c r="V32" s="1"/>
      <c r="W32" s="1"/>
      <c r="X32" s="1"/>
      <c r="Y32" s="1"/>
      <c r="Z32" s="1"/>
    </row>
    <row r="33" spans="1:26" ht="15.75" customHeight="1">
      <c r="A33" s="259"/>
      <c r="B33" s="260"/>
      <c r="C33" s="53"/>
      <c r="D33" s="262"/>
      <c r="E33" s="281"/>
      <c r="F33" s="264"/>
      <c r="G33" s="266"/>
      <c r="H33" s="265"/>
      <c r="I33" s="267"/>
      <c r="J33" s="265"/>
      <c r="K33" s="267"/>
      <c r="L33" s="265"/>
      <c r="M33" s="267"/>
      <c r="N33" s="268"/>
      <c r="O33" s="1"/>
      <c r="P33" s="1"/>
      <c r="Q33" s="1"/>
      <c r="R33" s="1"/>
      <c r="S33" s="1"/>
      <c r="T33" s="1"/>
      <c r="U33" s="1"/>
      <c r="V33" s="1"/>
      <c r="W33" s="1"/>
      <c r="X33" s="1"/>
      <c r="Y33" s="1"/>
      <c r="Z33" s="1"/>
    </row>
    <row r="34" spans="1:26" ht="15.75" customHeight="1">
      <c r="A34" s="259"/>
      <c r="B34" s="260"/>
      <c r="C34" s="280"/>
      <c r="D34" s="262"/>
      <c r="E34" s="281"/>
      <c r="F34" s="264"/>
      <c r="G34" s="266"/>
      <c r="H34" s="265"/>
      <c r="I34" s="267"/>
      <c r="J34" s="265"/>
      <c r="K34" s="267"/>
      <c r="L34" s="265"/>
      <c r="M34" s="267"/>
      <c r="N34" s="268"/>
      <c r="O34" s="1"/>
      <c r="P34" s="1"/>
      <c r="Q34" s="1"/>
      <c r="R34" s="1"/>
      <c r="S34" s="1"/>
      <c r="T34" s="1"/>
      <c r="U34" s="1"/>
      <c r="V34" s="1"/>
      <c r="W34" s="1"/>
      <c r="X34" s="1"/>
      <c r="Y34" s="1"/>
      <c r="Z34" s="1"/>
    </row>
    <row r="35" spans="1:26" ht="15.75" customHeight="1">
      <c r="A35" s="259"/>
      <c r="B35" s="260"/>
      <c r="C35" s="280"/>
      <c r="D35" s="262"/>
      <c r="E35" s="281"/>
      <c r="F35" s="264"/>
      <c r="G35" s="266"/>
      <c r="H35" s="265"/>
      <c r="I35" s="267"/>
      <c r="J35" s="265"/>
      <c r="K35" s="267"/>
      <c r="L35" s="265"/>
      <c r="M35" s="267"/>
      <c r="N35" s="268"/>
      <c r="O35" s="1"/>
      <c r="P35" s="1"/>
      <c r="Q35" s="1"/>
      <c r="R35" s="1"/>
      <c r="S35" s="1"/>
      <c r="T35" s="1"/>
      <c r="U35" s="1"/>
      <c r="V35" s="1"/>
      <c r="W35" s="1"/>
      <c r="X35" s="1"/>
      <c r="Y35" s="1"/>
      <c r="Z35" s="1"/>
    </row>
    <row r="36" spans="1:26" ht="15.75" customHeight="1">
      <c r="A36" s="259"/>
      <c r="B36" s="260"/>
      <c r="C36" s="280"/>
      <c r="D36" s="262"/>
      <c r="E36" s="281"/>
      <c r="F36" s="264"/>
      <c r="G36" s="266"/>
      <c r="H36" s="265"/>
      <c r="I36" s="267"/>
      <c r="J36" s="265"/>
      <c r="K36" s="267"/>
      <c r="L36" s="265"/>
      <c r="M36" s="267"/>
      <c r="N36" s="268"/>
      <c r="O36" s="1"/>
      <c r="P36" s="1"/>
      <c r="Q36" s="1"/>
      <c r="R36" s="1"/>
      <c r="S36" s="1"/>
      <c r="T36" s="1"/>
      <c r="U36" s="1"/>
      <c r="V36" s="1"/>
      <c r="W36" s="1"/>
      <c r="X36" s="1"/>
      <c r="Y36" s="1"/>
      <c r="Z36" s="1"/>
    </row>
    <row r="37" spans="1:26" ht="15.75" customHeight="1">
      <c r="A37" s="259"/>
      <c r="B37" s="260"/>
      <c r="C37" s="261"/>
      <c r="D37" s="262"/>
      <c r="E37" s="281"/>
      <c r="F37" s="264"/>
      <c r="G37" s="266"/>
      <c r="H37" s="265"/>
      <c r="I37" s="267"/>
      <c r="J37" s="265"/>
      <c r="K37" s="267"/>
      <c r="L37" s="265"/>
      <c r="M37" s="267"/>
      <c r="N37" s="268"/>
      <c r="O37" s="1"/>
      <c r="P37" s="1"/>
      <c r="Q37" s="1"/>
      <c r="R37" s="1"/>
      <c r="S37" s="1"/>
      <c r="T37" s="1"/>
      <c r="U37" s="1"/>
      <c r="V37" s="1"/>
      <c r="W37" s="1"/>
      <c r="X37" s="1"/>
      <c r="Y37" s="1"/>
      <c r="Z37" s="1"/>
    </row>
    <row r="38" spans="1:26" ht="15.75" customHeight="1">
      <c r="A38" s="259"/>
      <c r="B38" s="260"/>
      <c r="C38" s="283"/>
      <c r="D38" s="262"/>
      <c r="E38" s="281"/>
      <c r="F38" s="264"/>
      <c r="G38" s="266"/>
      <c r="H38" s="265"/>
      <c r="I38" s="267"/>
      <c r="J38" s="265"/>
      <c r="K38" s="267"/>
      <c r="L38" s="265"/>
      <c r="M38" s="267"/>
      <c r="N38" s="268"/>
      <c r="O38" s="1"/>
      <c r="P38" s="1"/>
      <c r="Q38" s="1"/>
      <c r="R38" s="1"/>
      <c r="S38" s="1"/>
      <c r="T38" s="1"/>
      <c r="U38" s="1"/>
      <c r="V38" s="1"/>
      <c r="W38" s="1"/>
      <c r="X38" s="1"/>
      <c r="Y38" s="1"/>
      <c r="Z38" s="1"/>
    </row>
    <row r="39" spans="1:26" ht="15.75" customHeight="1">
      <c r="A39" s="259"/>
      <c r="B39" s="260"/>
      <c r="C39" s="283"/>
      <c r="D39" s="262"/>
      <c r="E39" s="281"/>
      <c r="F39" s="264"/>
      <c r="G39" s="266"/>
      <c r="H39" s="265"/>
      <c r="I39" s="267"/>
      <c r="J39" s="265"/>
      <c r="K39" s="267"/>
      <c r="L39" s="265"/>
      <c r="M39" s="267"/>
      <c r="N39" s="268"/>
      <c r="O39" s="1"/>
      <c r="P39" s="1"/>
      <c r="Q39" s="1"/>
      <c r="R39" s="1"/>
      <c r="S39" s="1"/>
      <c r="T39" s="1"/>
      <c r="U39" s="1"/>
      <c r="V39" s="1"/>
      <c r="W39" s="1"/>
      <c r="X39" s="1"/>
      <c r="Y39" s="1"/>
      <c r="Z39" s="1"/>
    </row>
    <row r="40" spans="1:26" ht="15.75" customHeight="1">
      <c r="A40" s="259"/>
      <c r="B40" s="260"/>
      <c r="C40" s="81"/>
      <c r="D40" s="262"/>
      <c r="E40" s="281"/>
      <c r="F40" s="264"/>
      <c r="G40" s="266"/>
      <c r="H40" s="265"/>
      <c r="I40" s="267"/>
      <c r="J40" s="265"/>
      <c r="K40" s="267"/>
      <c r="L40" s="265"/>
      <c r="M40" s="267"/>
      <c r="N40" s="268"/>
      <c r="O40" s="1"/>
      <c r="P40" s="1"/>
      <c r="Q40" s="1"/>
      <c r="R40" s="1"/>
      <c r="S40" s="1"/>
      <c r="T40" s="1"/>
      <c r="U40" s="1"/>
      <c r="V40" s="1"/>
      <c r="W40" s="1"/>
      <c r="X40" s="1"/>
      <c r="Y40" s="1"/>
      <c r="Z40" s="1"/>
    </row>
    <row r="41" spans="1:26" ht="15.75" customHeight="1">
      <c r="A41" s="259"/>
      <c r="B41" s="260"/>
      <c r="C41" s="261"/>
      <c r="D41" s="262"/>
      <c r="E41" s="281"/>
      <c r="F41" s="264"/>
      <c r="G41" s="266"/>
      <c r="H41" s="265"/>
      <c r="I41" s="267"/>
      <c r="J41" s="265"/>
      <c r="K41" s="267"/>
      <c r="L41" s="265"/>
      <c r="M41" s="267"/>
      <c r="N41" s="268"/>
      <c r="O41" s="1"/>
      <c r="P41" s="1"/>
      <c r="Q41" s="1"/>
      <c r="R41" s="1"/>
      <c r="S41" s="1"/>
      <c r="T41" s="1"/>
      <c r="U41" s="1"/>
      <c r="V41" s="1"/>
      <c r="W41" s="1"/>
      <c r="X41" s="1"/>
      <c r="Y41" s="1"/>
      <c r="Z41" s="1"/>
    </row>
    <row r="42" spans="1:26" ht="15.75" customHeight="1">
      <c r="A42" s="259"/>
      <c r="B42" s="260"/>
      <c r="C42" s="261"/>
      <c r="D42" s="262"/>
      <c r="E42" s="81"/>
      <c r="F42" s="264"/>
      <c r="G42" s="266"/>
      <c r="H42" s="264"/>
      <c r="I42" s="267"/>
      <c r="J42" s="264"/>
      <c r="K42" s="267"/>
      <c r="L42" s="264"/>
      <c r="M42" s="267"/>
      <c r="N42" s="268"/>
      <c r="O42" s="1"/>
      <c r="P42" s="1"/>
      <c r="Q42" s="1"/>
      <c r="R42" s="1"/>
      <c r="S42" s="1"/>
      <c r="T42" s="1"/>
      <c r="U42" s="1"/>
      <c r="V42" s="1"/>
      <c r="W42" s="1"/>
      <c r="X42" s="1"/>
      <c r="Y42" s="1"/>
      <c r="Z42" s="1"/>
    </row>
    <row r="43" spans="1:26" ht="15.75" customHeight="1">
      <c r="A43" s="259"/>
      <c r="B43" s="260"/>
      <c r="C43" s="283"/>
      <c r="D43" s="262"/>
      <c r="E43" s="284"/>
      <c r="F43" s="264"/>
      <c r="G43" s="266"/>
      <c r="H43" s="264"/>
      <c r="I43" s="267"/>
      <c r="J43" s="264"/>
      <c r="K43" s="267"/>
      <c r="L43" s="264"/>
      <c r="M43" s="267"/>
      <c r="N43" s="268"/>
      <c r="O43" s="1"/>
      <c r="P43" s="1"/>
      <c r="Q43" s="1"/>
      <c r="R43" s="1"/>
      <c r="S43" s="1"/>
      <c r="T43" s="1"/>
      <c r="U43" s="1"/>
      <c r="V43" s="1"/>
      <c r="W43" s="1"/>
      <c r="X43" s="1"/>
      <c r="Y43" s="1"/>
      <c r="Z43" s="1"/>
    </row>
    <row r="44" spans="1:26" ht="15.75" customHeight="1">
      <c r="A44" s="259"/>
      <c r="B44" s="260"/>
      <c r="C44" s="283"/>
      <c r="D44" s="262"/>
      <c r="E44" s="284"/>
      <c r="F44" s="264"/>
      <c r="G44" s="266"/>
      <c r="H44" s="265"/>
      <c r="I44" s="267"/>
      <c r="J44" s="265"/>
      <c r="K44" s="267"/>
      <c r="L44" s="265"/>
      <c r="M44" s="267"/>
      <c r="N44" s="268"/>
      <c r="O44" s="1"/>
      <c r="P44" s="1"/>
      <c r="Q44" s="1"/>
      <c r="R44" s="1"/>
      <c r="S44" s="1"/>
      <c r="T44" s="1"/>
      <c r="U44" s="1"/>
      <c r="V44" s="1"/>
      <c r="W44" s="1"/>
      <c r="X44" s="1"/>
      <c r="Y44" s="1"/>
      <c r="Z44" s="1"/>
    </row>
    <row r="45" spans="1:26" ht="15.75" customHeight="1">
      <c r="A45" s="259"/>
      <c r="B45" s="260"/>
      <c r="C45" s="261"/>
      <c r="D45" s="262"/>
      <c r="E45" s="81"/>
      <c r="F45" s="264"/>
      <c r="G45" s="266"/>
      <c r="H45" s="265"/>
      <c r="I45" s="267"/>
      <c r="J45" s="265"/>
      <c r="K45" s="267"/>
      <c r="L45" s="265"/>
      <c r="M45" s="267"/>
      <c r="N45" s="268"/>
      <c r="O45" s="1"/>
      <c r="P45" s="1"/>
      <c r="Q45" s="1"/>
      <c r="R45" s="1"/>
      <c r="S45" s="1"/>
      <c r="T45" s="1"/>
      <c r="U45" s="1"/>
      <c r="V45" s="1"/>
      <c r="W45" s="1"/>
      <c r="X45" s="1"/>
      <c r="Y45" s="1"/>
      <c r="Z45" s="1"/>
    </row>
    <row r="46" spans="1:26" ht="15.75" customHeight="1">
      <c r="A46" s="259"/>
      <c r="B46" s="260"/>
      <c r="C46" s="261"/>
      <c r="D46" s="262"/>
      <c r="E46" s="81"/>
      <c r="F46" s="264"/>
      <c r="G46" s="266"/>
      <c r="H46" s="265"/>
      <c r="I46" s="267"/>
      <c r="J46" s="265"/>
      <c r="K46" s="267"/>
      <c r="L46" s="265"/>
      <c r="M46" s="267"/>
      <c r="N46" s="268"/>
      <c r="O46" s="1"/>
      <c r="P46" s="1"/>
      <c r="Q46" s="1"/>
      <c r="R46" s="1"/>
      <c r="S46" s="1"/>
      <c r="T46" s="1"/>
      <c r="U46" s="1"/>
      <c r="V46" s="1"/>
      <c r="W46" s="1"/>
      <c r="X46" s="1"/>
      <c r="Y46" s="1"/>
      <c r="Z46" s="1"/>
    </row>
    <row r="47" spans="1:26" ht="15.75" customHeight="1">
      <c r="A47" s="259"/>
      <c r="B47" s="260"/>
      <c r="C47" s="261"/>
      <c r="D47" s="262"/>
      <c r="E47" s="81"/>
      <c r="F47" s="264"/>
      <c r="G47" s="266"/>
      <c r="H47" s="265"/>
      <c r="I47" s="267"/>
      <c r="J47" s="265"/>
      <c r="K47" s="267"/>
      <c r="L47" s="265"/>
      <c r="M47" s="267"/>
      <c r="N47" s="268"/>
      <c r="O47" s="1"/>
      <c r="P47" s="1"/>
      <c r="Q47" s="1"/>
      <c r="R47" s="1"/>
      <c r="S47" s="1"/>
      <c r="T47" s="1"/>
      <c r="U47" s="1"/>
      <c r="V47" s="1"/>
      <c r="W47" s="1"/>
      <c r="X47" s="1"/>
      <c r="Y47" s="1"/>
      <c r="Z47" s="1"/>
    </row>
    <row r="48" spans="1:26" ht="15.75" customHeight="1">
      <c r="A48" s="259"/>
      <c r="B48" s="260"/>
      <c r="C48" s="283"/>
      <c r="D48" s="262"/>
      <c r="E48" s="284"/>
      <c r="F48" s="264"/>
      <c r="G48" s="266"/>
      <c r="H48" s="265"/>
      <c r="I48" s="267"/>
      <c r="J48" s="265"/>
      <c r="K48" s="267"/>
      <c r="L48" s="265"/>
      <c r="M48" s="267"/>
      <c r="N48" s="268"/>
      <c r="O48" s="1"/>
      <c r="P48" s="1"/>
      <c r="Q48" s="1"/>
      <c r="R48" s="1"/>
      <c r="S48" s="1"/>
      <c r="T48" s="1"/>
      <c r="U48" s="1"/>
      <c r="V48" s="1"/>
      <c r="W48" s="1"/>
      <c r="X48" s="1"/>
      <c r="Y48" s="1"/>
      <c r="Z48" s="1"/>
    </row>
    <row r="49" spans="1:26" ht="15.75" customHeight="1">
      <c r="A49" s="259"/>
      <c r="B49" s="260"/>
      <c r="C49" s="283"/>
      <c r="D49" s="262"/>
      <c r="E49" s="284"/>
      <c r="F49" s="264"/>
      <c r="G49" s="266"/>
      <c r="H49" s="265"/>
      <c r="I49" s="267"/>
      <c r="J49" s="265"/>
      <c r="K49" s="267"/>
      <c r="L49" s="265"/>
      <c r="M49" s="267"/>
      <c r="N49" s="268"/>
      <c r="O49" s="1"/>
      <c r="P49" s="1"/>
      <c r="Q49" s="1"/>
      <c r="R49" s="1"/>
      <c r="S49" s="1"/>
      <c r="T49" s="1"/>
      <c r="U49" s="1"/>
      <c r="V49" s="1"/>
      <c r="W49" s="1"/>
      <c r="X49" s="1"/>
      <c r="Y49" s="1"/>
      <c r="Z49" s="1"/>
    </row>
    <row r="50" spans="1:26" ht="15.75" customHeight="1">
      <c r="A50" s="259"/>
      <c r="B50" s="260"/>
      <c r="C50" s="261"/>
      <c r="D50" s="262"/>
      <c r="E50" s="81"/>
      <c r="F50" s="264"/>
      <c r="G50" s="266"/>
      <c r="H50" s="265"/>
      <c r="I50" s="267"/>
      <c r="J50" s="265"/>
      <c r="K50" s="267"/>
      <c r="L50" s="265"/>
      <c r="M50" s="267"/>
      <c r="N50" s="268"/>
      <c r="O50" s="1"/>
      <c r="P50" s="1"/>
      <c r="Q50" s="1"/>
      <c r="R50" s="1"/>
      <c r="S50" s="1"/>
      <c r="T50" s="1"/>
      <c r="U50" s="1"/>
      <c r="V50" s="1"/>
      <c r="W50" s="1"/>
      <c r="X50" s="1"/>
      <c r="Y50" s="1"/>
      <c r="Z50" s="1"/>
    </row>
    <row r="51" spans="1:26" ht="15.75" customHeight="1">
      <c r="A51" s="75"/>
      <c r="B51" s="260"/>
      <c r="C51" s="222"/>
      <c r="D51" s="276"/>
      <c r="E51" s="8"/>
      <c r="F51" s="274"/>
      <c r="G51" s="266"/>
      <c r="H51" s="274"/>
      <c r="I51" s="267"/>
      <c r="J51" s="274"/>
      <c r="K51" s="267"/>
      <c r="L51" s="274"/>
      <c r="M51" s="267"/>
      <c r="N51" s="268"/>
      <c r="O51" s="1"/>
      <c r="P51" s="1"/>
      <c r="Q51" s="1"/>
      <c r="R51" s="1"/>
      <c r="S51" s="1"/>
      <c r="T51" s="1"/>
      <c r="U51" s="1"/>
      <c r="V51" s="1"/>
      <c r="W51" s="1"/>
      <c r="X51" s="1"/>
      <c r="Y51" s="1"/>
      <c r="Z51" s="1"/>
    </row>
    <row r="52" spans="1:26" ht="4.5" customHeight="1">
      <c r="A52" s="1"/>
      <c r="B52" s="1"/>
      <c r="C52" s="1"/>
      <c r="D52" s="1"/>
      <c r="E52" s="1"/>
      <c r="F52" s="1"/>
      <c r="G52" s="1"/>
      <c r="H52" s="1"/>
      <c r="I52" s="1"/>
      <c r="J52" s="1"/>
      <c r="K52" s="1"/>
      <c r="L52" s="1"/>
      <c r="M52" s="1"/>
      <c r="N52" s="4"/>
      <c r="O52" s="1"/>
      <c r="P52" s="1"/>
      <c r="Q52" s="1"/>
      <c r="R52" s="1"/>
      <c r="S52" s="1"/>
      <c r="T52" s="1"/>
      <c r="U52" s="1"/>
      <c r="V52" s="1"/>
      <c r="W52" s="1"/>
      <c r="X52" s="1"/>
      <c r="Y52" s="1"/>
      <c r="Z52" s="1"/>
    </row>
    <row r="53" spans="1:26" ht="15.75" customHeight="1">
      <c r="A53" s="1"/>
      <c r="B53" s="1"/>
      <c r="C53" s="1"/>
      <c r="D53" s="1"/>
      <c r="E53" s="285" t="s">
        <v>309</v>
      </c>
      <c r="F53" s="286">
        <f t="shared" ref="F53:N53" si="5">SUM(F12:F51)</f>
        <v>0</v>
      </c>
      <c r="G53" s="287">
        <f t="shared" si="5"/>
        <v>0</v>
      </c>
      <c r="H53" s="286">
        <f t="shared" si="5"/>
        <v>21</v>
      </c>
      <c r="I53" s="288">
        <f t="shared" si="5"/>
        <v>132.29999999999998</v>
      </c>
      <c r="J53" s="286">
        <f t="shared" si="5"/>
        <v>125</v>
      </c>
      <c r="K53" s="288">
        <f t="shared" si="5"/>
        <v>200</v>
      </c>
      <c r="L53" s="286">
        <f t="shared" si="5"/>
        <v>179</v>
      </c>
      <c r="M53" s="288">
        <f t="shared" si="5"/>
        <v>91.29</v>
      </c>
      <c r="N53" s="289">
        <f t="shared" si="5"/>
        <v>325</v>
      </c>
      <c r="O53" s="1"/>
      <c r="P53" s="1"/>
      <c r="Q53" s="1"/>
      <c r="R53" s="1"/>
      <c r="S53" s="1"/>
      <c r="T53" s="1"/>
      <c r="U53" s="1"/>
      <c r="V53" s="1"/>
      <c r="W53" s="1"/>
      <c r="X53" s="1"/>
      <c r="Y53" s="1"/>
      <c r="Z53" s="1"/>
    </row>
    <row r="54" spans="1:26" ht="15.75" customHeight="1">
      <c r="A54" s="167"/>
      <c r="B54" s="167"/>
      <c r="C54" s="167"/>
      <c r="D54" s="167"/>
      <c r="E54" s="167"/>
      <c r="F54" s="167"/>
      <c r="G54" s="167"/>
      <c r="H54" s="167"/>
      <c r="I54" s="167"/>
      <c r="J54" s="167"/>
      <c r="K54" s="167"/>
      <c r="L54" s="167"/>
      <c r="M54" s="167"/>
      <c r="N54" s="290"/>
      <c r="O54" s="167"/>
      <c r="P54" s="167"/>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4"/>
      <c r="O55" s="1"/>
      <c r="P55" s="1"/>
      <c r="Q55" s="1"/>
      <c r="R55" s="1"/>
      <c r="S55" s="1"/>
      <c r="T55" s="1"/>
      <c r="U55" s="1"/>
      <c r="V55" s="1"/>
      <c r="W55" s="1"/>
      <c r="X55" s="1"/>
      <c r="Y55" s="1"/>
      <c r="Z55" s="1"/>
    </row>
    <row r="56" spans="1:26" ht="33.75" customHeight="1">
      <c r="A56" s="620" t="s">
        <v>310</v>
      </c>
      <c r="B56" s="521"/>
      <c r="C56" s="521"/>
      <c r="D56" s="521"/>
      <c r="E56" s="521"/>
      <c r="F56" s="521"/>
      <c r="G56" s="521"/>
      <c r="H56" s="521"/>
      <c r="I56" s="521"/>
      <c r="J56" s="521"/>
      <c r="K56" s="521"/>
      <c r="L56" s="521"/>
      <c r="M56" s="521"/>
      <c r="N56" s="521"/>
      <c r="O56" s="521"/>
      <c r="P56" s="519"/>
      <c r="Q56" s="1"/>
      <c r="R56" s="1"/>
      <c r="S56" s="1"/>
      <c r="T56" s="1"/>
      <c r="U56" s="1"/>
      <c r="V56" s="1"/>
      <c r="W56" s="1"/>
      <c r="X56" s="1"/>
      <c r="Y56" s="1"/>
      <c r="Z56" s="1"/>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562" t="s">
        <v>311</v>
      </c>
      <c r="B58" s="516"/>
      <c r="C58" s="516"/>
      <c r="D58" s="516"/>
      <c r="E58" s="516"/>
      <c r="F58" s="516"/>
      <c r="G58" s="517"/>
      <c r="H58" s="1"/>
      <c r="I58" s="1"/>
      <c r="J58" s="1"/>
      <c r="K58" s="1"/>
      <c r="L58" s="1"/>
      <c r="M58" s="1"/>
      <c r="N58" s="1"/>
      <c r="O58" s="1"/>
      <c r="P58" s="1"/>
      <c r="Q58" s="1"/>
      <c r="R58" s="1"/>
      <c r="S58" s="1"/>
      <c r="T58" s="1"/>
      <c r="U58" s="1"/>
      <c r="V58" s="1"/>
      <c r="W58" s="1"/>
      <c r="X58" s="1"/>
      <c r="Y58" s="1"/>
      <c r="Z58" s="1"/>
    </row>
    <row r="59" spans="1:26" ht="4.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6"/>
      <c r="E60" s="6"/>
      <c r="F60" s="213"/>
      <c r="G60" s="215"/>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4"/>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4"/>
      <c r="O62" s="1"/>
      <c r="P62" s="1"/>
      <c r="Q62" s="1"/>
      <c r="R62" s="1"/>
      <c r="S62" s="1"/>
      <c r="T62" s="1"/>
      <c r="U62" s="1"/>
      <c r="V62" s="1"/>
      <c r="W62" s="1"/>
      <c r="X62" s="1"/>
      <c r="Y62" s="1"/>
      <c r="Z62" s="1"/>
    </row>
    <row r="63" spans="1:26" ht="15.75" customHeight="1">
      <c r="A63" s="1"/>
      <c r="B63" s="1"/>
      <c r="C63" s="291" t="s">
        <v>312</v>
      </c>
      <c r="D63" s="292"/>
      <c r="E63" s="292"/>
      <c r="F63" s="293">
        <f>SUM(H12:H51)</f>
        <v>21</v>
      </c>
      <c r="G63" s="294">
        <f>F63/G68</f>
        <v>6.4615384615384616E-2</v>
      </c>
      <c r="H63" s="1"/>
      <c r="I63" s="1"/>
      <c r="J63" s="1"/>
      <c r="K63" s="1"/>
      <c r="L63" s="1"/>
      <c r="M63" s="1"/>
      <c r="N63" s="4"/>
      <c r="O63" s="1"/>
      <c r="P63" s="1"/>
      <c r="Q63" s="1"/>
      <c r="R63" s="1"/>
      <c r="S63" s="1"/>
      <c r="T63" s="1"/>
      <c r="U63" s="1"/>
      <c r="V63" s="1"/>
      <c r="W63" s="1"/>
      <c r="X63" s="1"/>
      <c r="Y63" s="1"/>
      <c r="Z63" s="1"/>
    </row>
    <row r="64" spans="1:26" ht="15.75" customHeight="1">
      <c r="A64" s="1"/>
      <c r="B64" s="1"/>
      <c r="C64" s="295" t="s">
        <v>313</v>
      </c>
      <c r="D64" s="296"/>
      <c r="E64" s="296"/>
      <c r="F64" s="297">
        <f>SUM(J12:J51)</f>
        <v>125</v>
      </c>
      <c r="G64" s="298">
        <f>F64/G68</f>
        <v>0.38461538461538464</v>
      </c>
      <c r="H64" s="1"/>
      <c r="I64" s="1"/>
      <c r="J64" s="1"/>
      <c r="K64" s="1"/>
      <c r="L64" s="1"/>
      <c r="M64" s="1"/>
      <c r="N64" s="4"/>
      <c r="O64" s="1"/>
      <c r="P64" s="1"/>
      <c r="Q64" s="1"/>
      <c r="R64" s="1"/>
      <c r="S64" s="1"/>
      <c r="T64" s="1"/>
      <c r="U64" s="1"/>
      <c r="V64" s="1"/>
      <c r="W64" s="1"/>
      <c r="X64" s="1"/>
      <c r="Y64" s="1"/>
      <c r="Z64" s="1"/>
    </row>
    <row r="65" spans="1:26" ht="15.75" customHeight="1">
      <c r="A65" s="1"/>
      <c r="B65" s="1"/>
      <c r="C65" s="299" t="s">
        <v>314</v>
      </c>
      <c r="D65" s="300"/>
      <c r="E65" s="300"/>
      <c r="F65" s="301">
        <f>SUM(L12:L51)</f>
        <v>179</v>
      </c>
      <c r="G65" s="302">
        <f>F65/G68</f>
        <v>0.55076923076923079</v>
      </c>
      <c r="H65" s="1"/>
      <c r="I65" s="1"/>
      <c r="J65" s="1"/>
      <c r="K65" s="1"/>
      <c r="L65" s="1"/>
      <c r="M65" s="1"/>
      <c r="N65" s="4"/>
      <c r="O65" s="1"/>
      <c r="P65" s="1"/>
      <c r="Q65" s="1"/>
      <c r="R65" s="1"/>
      <c r="S65" s="1"/>
      <c r="T65" s="1"/>
      <c r="U65" s="1"/>
      <c r="V65" s="1"/>
      <c r="W65" s="1"/>
      <c r="X65" s="1"/>
      <c r="Y65" s="1"/>
      <c r="Z65" s="1"/>
    </row>
    <row r="66" spans="1:26" ht="15.75" customHeight="1">
      <c r="A66" s="1"/>
      <c r="B66" s="1"/>
      <c r="C66" s="303" t="s">
        <v>315</v>
      </c>
      <c r="D66" s="304"/>
      <c r="E66" s="304"/>
      <c r="F66" s="305">
        <f>SUM(F12:F51)</f>
        <v>0</v>
      </c>
      <c r="G66" s="306">
        <f>F66/G68</f>
        <v>0</v>
      </c>
      <c r="H66" s="1"/>
      <c r="I66" s="1"/>
      <c r="J66" s="1"/>
      <c r="K66" s="1"/>
      <c r="L66" s="1"/>
      <c r="M66" s="1"/>
      <c r="N66" s="4"/>
      <c r="O66" s="1"/>
      <c r="P66" s="1"/>
      <c r="Q66" s="1"/>
      <c r="R66" s="1"/>
      <c r="S66" s="1"/>
      <c r="T66" s="1"/>
      <c r="U66" s="1"/>
      <c r="V66" s="1"/>
      <c r="W66" s="1"/>
      <c r="X66" s="1"/>
      <c r="Y66" s="1"/>
      <c r="Z66" s="1"/>
    </row>
    <row r="67" spans="1:26" ht="9.75" customHeight="1">
      <c r="A67" s="1"/>
      <c r="B67" s="1"/>
      <c r="C67" s="1"/>
      <c r="D67" s="1"/>
      <c r="E67" s="1"/>
      <c r="F67" s="1"/>
      <c r="G67" s="1"/>
      <c r="H67" s="1"/>
      <c r="I67" s="1"/>
      <c r="J67" s="1"/>
      <c r="K67" s="1"/>
      <c r="L67" s="1"/>
      <c r="M67" s="1"/>
      <c r="N67" s="4"/>
      <c r="O67" s="1"/>
      <c r="P67" s="1"/>
      <c r="Q67" s="1"/>
      <c r="R67" s="1"/>
      <c r="S67" s="1"/>
      <c r="T67" s="1"/>
      <c r="U67" s="1"/>
      <c r="V67" s="1"/>
      <c r="W67" s="1"/>
      <c r="X67" s="1"/>
      <c r="Y67" s="1"/>
      <c r="Z67" s="1"/>
    </row>
    <row r="68" spans="1:26" ht="22.5" customHeight="1">
      <c r="A68" s="1"/>
      <c r="B68" s="1"/>
      <c r="C68" s="1"/>
      <c r="D68" s="1"/>
      <c r="E68" s="1"/>
      <c r="F68" s="621" t="s">
        <v>316</v>
      </c>
      <c r="G68" s="623">
        <f>SUM(F63:F66)</f>
        <v>325</v>
      </c>
      <c r="H68" s="1"/>
      <c r="I68" s="1"/>
      <c r="J68" s="1"/>
      <c r="K68" s="1"/>
      <c r="L68" s="1"/>
      <c r="M68" s="1"/>
      <c r="N68" s="4"/>
      <c r="O68" s="1"/>
      <c r="P68" s="1"/>
      <c r="Q68" s="1"/>
      <c r="R68" s="1"/>
      <c r="S68" s="1"/>
      <c r="T68" s="1"/>
      <c r="U68" s="1"/>
      <c r="V68" s="1"/>
      <c r="W68" s="1"/>
      <c r="X68" s="1"/>
      <c r="Y68" s="1"/>
      <c r="Z68" s="1"/>
    </row>
    <row r="69" spans="1:26" ht="24.75" customHeight="1">
      <c r="A69" s="1"/>
      <c r="B69" s="1"/>
      <c r="C69" s="1"/>
      <c r="D69" s="1"/>
      <c r="E69" s="1"/>
      <c r="F69" s="622"/>
      <c r="G69" s="624"/>
      <c r="H69" s="1"/>
      <c r="I69" s="1"/>
      <c r="J69" s="1"/>
      <c r="K69" s="1"/>
      <c r="L69" s="1"/>
      <c r="M69" s="1"/>
      <c r="N69" s="4"/>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4"/>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625" t="s">
        <v>317</v>
      </c>
      <c r="D73" s="602"/>
      <c r="E73" s="603"/>
      <c r="F73" s="307">
        <f>G68</f>
        <v>325</v>
      </c>
      <c r="G73" s="1"/>
      <c r="H73" s="1"/>
      <c r="I73" s="1"/>
      <c r="J73" s="1"/>
      <c r="K73" s="1"/>
      <c r="L73" s="1"/>
      <c r="M73" s="1"/>
      <c r="N73" s="1"/>
      <c r="O73" s="1"/>
      <c r="P73" s="1"/>
      <c r="Q73" s="1"/>
      <c r="R73" s="1"/>
      <c r="S73" s="1"/>
      <c r="T73" s="1"/>
      <c r="U73" s="1"/>
      <c r="V73" s="1"/>
      <c r="W73" s="1"/>
      <c r="X73" s="1"/>
      <c r="Y73" s="1"/>
      <c r="Z73" s="1"/>
    </row>
    <row r="74" spans="1:26" ht="15.75" customHeight="1">
      <c r="A74" s="1"/>
      <c r="B74" s="1"/>
      <c r="C74" s="618" t="s">
        <v>318</v>
      </c>
      <c r="D74" s="521"/>
      <c r="E74" s="519"/>
      <c r="F74" s="308">
        <f>(G53+I53+M53+K53)</f>
        <v>423.59</v>
      </c>
      <c r="G74" s="1"/>
      <c r="H74" s="1"/>
      <c r="I74" s="1"/>
      <c r="J74" s="1"/>
      <c r="K74" s="1"/>
      <c r="L74" s="1"/>
      <c r="M74" s="1"/>
      <c r="N74" s="1"/>
      <c r="O74" s="1"/>
      <c r="P74" s="1"/>
      <c r="Q74" s="1"/>
      <c r="R74" s="1"/>
      <c r="S74" s="1"/>
      <c r="T74" s="1"/>
      <c r="U74" s="1"/>
      <c r="V74" s="1"/>
      <c r="W74" s="1"/>
      <c r="X74" s="1"/>
      <c r="Y74" s="1"/>
      <c r="Z74" s="1"/>
    </row>
    <row r="75" spans="1:26" ht="15.75" customHeight="1">
      <c r="A75" s="1"/>
      <c r="B75" s="1"/>
      <c r="C75" s="618" t="s">
        <v>319</v>
      </c>
      <c r="D75" s="521"/>
      <c r="E75" s="519"/>
      <c r="F75" s="308">
        <f>(F73*6.3)</f>
        <v>2047.5</v>
      </c>
      <c r="G75" s="1"/>
      <c r="H75" s="1"/>
      <c r="I75" s="1"/>
      <c r="J75" s="1"/>
      <c r="K75" s="1"/>
      <c r="L75" s="1"/>
      <c r="M75" s="1"/>
      <c r="N75" s="1"/>
      <c r="O75" s="1"/>
      <c r="P75" s="1"/>
      <c r="Q75" s="1"/>
      <c r="R75" s="1"/>
      <c r="S75" s="1"/>
      <c r="T75" s="1"/>
      <c r="U75" s="1"/>
      <c r="V75" s="1"/>
      <c r="W75" s="1"/>
      <c r="X75" s="1"/>
      <c r="Y75" s="1"/>
      <c r="Z75" s="1"/>
    </row>
    <row r="76" spans="1:26" ht="15.75" customHeight="1">
      <c r="A76" s="1"/>
      <c r="B76" s="1"/>
      <c r="C76" s="619" t="s">
        <v>320</v>
      </c>
      <c r="D76" s="600"/>
      <c r="E76" s="598"/>
      <c r="F76" s="309">
        <f>(F75-F74)</f>
        <v>1623.91</v>
      </c>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4"/>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9">
    <mergeCell ref="C75:E75"/>
    <mergeCell ref="C76:E76"/>
    <mergeCell ref="A1:G1"/>
    <mergeCell ref="A56:P56"/>
    <mergeCell ref="A58:G58"/>
    <mergeCell ref="F68:F69"/>
    <mergeCell ref="G68:G69"/>
    <mergeCell ref="C73:E73"/>
    <mergeCell ref="C74:E74"/>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6">
        <x14:dataValidation type="list" allowBlank="1" showErrorMessage="1" xr:uid="{00000000-0002-0000-0900-000000000000}">
          <x14:formula1>
            <xm:f>Données!$D$33:$D$35</xm:f>
          </x14:formula1>
          <xm:sqref>A52</xm:sqref>
        </x14:dataValidation>
        <x14:dataValidation type="list" allowBlank="1" showErrorMessage="1" xr:uid="{00000000-0002-0000-0900-000001000000}">
          <x14:formula1>
            <xm:f>Données!$D$57:$D$59</xm:f>
          </x14:formula1>
          <xm:sqref>D12:D51</xm:sqref>
        </x14:dataValidation>
        <x14:dataValidation type="list" allowBlank="1" showErrorMessage="1" xr:uid="{00000000-0002-0000-0900-000002000000}">
          <x14:formula1>
            <xm:f>Données!$D$42:$D$45</xm:f>
          </x14:formula1>
          <xm:sqref>B52</xm:sqref>
        </x14:dataValidation>
        <x14:dataValidation type="list" allowBlank="1" showErrorMessage="1" xr:uid="{00000000-0002-0000-0900-000003000000}">
          <x14:formula1>
            <xm:f>Données!$D$37:$D$39</xm:f>
          </x14:formula1>
          <xm:sqref>A19:A51 A12:A17</xm:sqref>
        </x14:dataValidation>
        <x14:dataValidation type="list" allowBlank="1" showErrorMessage="1" xr:uid="{00000000-0002-0000-0900-000004000000}">
          <x14:formula1>
            <xm:f>Données!$D$49:$D$51</xm:f>
          </x14:formula1>
          <xm:sqref>B12:B51</xm:sqref>
        </x14:dataValidation>
        <x14:dataValidation type="list" allowBlank="1" showErrorMessage="1" xr:uid="{00000000-0002-0000-0900-000005000000}">
          <x14:formula1>
            <xm:f>Données!$H$42:$H$44</xm:f>
          </x14:formula1>
          <xm:sqref>D52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DF7E1"/>
  </sheetPr>
  <dimension ref="A1:AH1169"/>
  <sheetViews>
    <sheetView topLeftCell="A259" zoomScale="75" workbookViewId="0">
      <selection activeCell="M48" sqref="M48"/>
    </sheetView>
  </sheetViews>
  <sheetFormatPr baseColWidth="10" defaultColWidth="11.125" defaultRowHeight="15" customHeight="1"/>
  <cols>
    <col min="1" max="1" width="9.625" customWidth="1"/>
    <col min="2" max="2" width="25.5" customWidth="1"/>
    <col min="3" max="3" width="42.875" bestFit="1" customWidth="1"/>
    <col min="4" max="6" width="16.5" customWidth="1"/>
    <col min="7" max="9" width="4.375" customWidth="1"/>
    <col min="10" max="10" width="2.125" customWidth="1"/>
    <col min="11" max="11" width="11.875" customWidth="1"/>
    <col min="12" max="12" width="12.5" customWidth="1"/>
    <col min="13" max="13" width="8.5" customWidth="1"/>
    <col min="14" max="15" width="4.375" customWidth="1"/>
    <col min="16" max="16" width="4.5" customWidth="1"/>
    <col min="17" max="17" width="25.5" customWidth="1"/>
    <col min="18" max="18" width="25.625" customWidth="1"/>
    <col min="19" max="22" width="16.5" customWidth="1"/>
    <col min="23" max="34" width="11" customWidth="1"/>
  </cols>
  <sheetData>
    <row r="1" spans="1:34" ht="15.75" customHeight="1"/>
    <row r="2" spans="1:34" ht="15.75" customHeight="1">
      <c r="A2" s="568" t="s">
        <v>321</v>
      </c>
      <c r="B2" s="516"/>
      <c r="C2" s="516"/>
      <c r="D2" s="516"/>
      <c r="E2" s="516"/>
      <c r="F2" s="516"/>
      <c r="G2" s="517"/>
      <c r="H2" s="310"/>
      <c r="I2" s="310"/>
      <c r="J2" s="310"/>
      <c r="K2" s="310"/>
      <c r="L2" s="310"/>
      <c r="M2" s="310"/>
      <c r="N2" s="310"/>
      <c r="O2" s="310"/>
    </row>
    <row r="3" spans="1:34" ht="15.75"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row>
    <row r="4" spans="1:34" ht="15.75" customHeight="1">
      <c r="A4" s="192"/>
      <c r="B4" s="3" t="s">
        <v>785</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row>
    <row r="5" spans="1:34" ht="15.75" customHeight="1">
      <c r="A5" s="12"/>
      <c r="B5" s="33" t="s">
        <v>111</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row>
    <row r="6" spans="1:34" ht="15.75" customHeight="1">
      <c r="A6" s="12"/>
      <c r="B6" s="34" t="s">
        <v>112</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row>
    <row r="7" spans="1:34" ht="15.75" customHeight="1">
      <c r="A7" s="12"/>
      <c r="B7" s="3" t="s">
        <v>784</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row>
    <row r="8" spans="1:34" ht="15.75" customHeight="1">
      <c r="A8" s="12"/>
      <c r="B8" s="3"/>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row>
    <row r="9" spans="1:34" ht="15.75" customHeight="1">
      <c r="A9" s="1"/>
      <c r="B9" s="2" t="s">
        <v>322</v>
      </c>
      <c r="C9" s="1"/>
      <c r="D9" s="1"/>
      <c r="E9" s="1"/>
      <c r="F9" s="1"/>
      <c r="G9" s="1"/>
      <c r="H9" s="1"/>
      <c r="I9" s="1"/>
      <c r="J9" s="1"/>
      <c r="K9" s="1"/>
      <c r="L9" s="1"/>
      <c r="M9" s="1"/>
      <c r="N9" s="1"/>
      <c r="O9" s="1"/>
      <c r="P9" s="311"/>
      <c r="Q9" s="674" t="s">
        <v>323</v>
      </c>
      <c r="R9" s="516"/>
      <c r="S9" s="516"/>
      <c r="T9" s="516"/>
      <c r="U9" s="516"/>
      <c r="V9" s="517"/>
      <c r="W9" s="1"/>
    </row>
    <row r="10" spans="1:34" ht="15.75" customHeight="1">
      <c r="A10" s="1"/>
      <c r="B10" s="1"/>
      <c r="C10" s="1"/>
      <c r="D10" s="1"/>
      <c r="E10" s="1"/>
      <c r="F10" s="1"/>
      <c r="G10" s="1"/>
      <c r="H10" s="1"/>
      <c r="I10" s="1"/>
      <c r="J10" s="1"/>
      <c r="K10" s="1"/>
      <c r="L10" s="1"/>
      <c r="M10" s="1"/>
      <c r="N10" s="1"/>
      <c r="O10" s="1"/>
      <c r="P10" s="311"/>
      <c r="Q10" s="1"/>
      <c r="R10" s="1"/>
      <c r="S10" s="1"/>
      <c r="T10" s="1"/>
      <c r="U10" s="1"/>
      <c r="V10" s="1"/>
      <c r="W10" s="1"/>
    </row>
    <row r="11" spans="1:34" ht="55.5" customHeight="1">
      <c r="A11" s="312" t="s">
        <v>114</v>
      </c>
      <c r="B11" s="313" t="s">
        <v>324</v>
      </c>
      <c r="C11" s="314" t="s">
        <v>325</v>
      </c>
      <c r="D11" s="313" t="s">
        <v>326</v>
      </c>
      <c r="E11" s="314" t="s">
        <v>327</v>
      </c>
      <c r="F11" s="315" t="s">
        <v>328</v>
      </c>
      <c r="G11" s="1"/>
      <c r="H11" s="675" t="s">
        <v>309</v>
      </c>
      <c r="I11" s="521"/>
      <c r="J11" s="521"/>
      <c r="K11" s="521"/>
      <c r="L11" s="521"/>
      <c r="M11" s="521"/>
      <c r="N11" s="519"/>
      <c r="O11" s="1"/>
      <c r="P11" s="311"/>
      <c r="Q11" s="316" t="s">
        <v>329</v>
      </c>
      <c r="R11" s="317" t="s">
        <v>330</v>
      </c>
      <c r="S11" s="318" t="s">
        <v>331</v>
      </c>
      <c r="T11" s="317" t="s">
        <v>332</v>
      </c>
      <c r="U11" s="319" t="s">
        <v>333</v>
      </c>
      <c r="V11" s="320" t="s">
        <v>334</v>
      </c>
      <c r="W11" s="1"/>
    </row>
    <row r="12" spans="1:34" ht="7.5" customHeight="1">
      <c r="A12" s="6"/>
      <c r="B12" s="11"/>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row>
    <row r="13" spans="1:34" ht="27" customHeight="1">
      <c r="A13" s="6"/>
      <c r="B13" s="665" t="s">
        <v>176</v>
      </c>
      <c r="C13" s="521"/>
      <c r="D13" s="521"/>
      <c r="E13" s="521"/>
      <c r="F13" s="519"/>
      <c r="G13" s="6"/>
      <c r="H13" s="676" t="s">
        <v>335</v>
      </c>
      <c r="I13" s="521"/>
      <c r="J13" s="519"/>
      <c r="K13" s="671" t="s">
        <v>327</v>
      </c>
      <c r="L13" s="519"/>
      <c r="M13" s="676" t="s">
        <v>86</v>
      </c>
      <c r="N13" s="519"/>
      <c r="O13" s="6"/>
      <c r="P13" s="6"/>
      <c r="Q13" s="321" t="s">
        <v>336</v>
      </c>
      <c r="R13" s="322"/>
      <c r="S13" s="322" t="s">
        <v>337</v>
      </c>
      <c r="T13" s="323"/>
      <c r="U13" s="323"/>
      <c r="V13" s="324"/>
      <c r="W13" s="6"/>
      <c r="X13" s="6"/>
      <c r="Y13" s="6"/>
      <c r="Z13" s="6"/>
      <c r="AA13" s="6"/>
      <c r="AB13" s="6"/>
      <c r="AC13" s="6"/>
      <c r="AD13" s="6"/>
      <c r="AE13" s="6"/>
      <c r="AF13" s="6"/>
      <c r="AG13" s="6"/>
      <c r="AH13" s="6"/>
    </row>
    <row r="14" spans="1:34" ht="4.5" customHeight="1" thickBot="1">
      <c r="A14" s="6"/>
      <c r="B14" s="11"/>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row>
    <row r="15" spans="1:34" ht="15.75" customHeight="1">
      <c r="A15" s="75" t="s">
        <v>136</v>
      </c>
      <c r="B15" s="8" t="s">
        <v>338</v>
      </c>
      <c r="C15" s="8"/>
      <c r="D15" s="325"/>
      <c r="E15" s="138" t="s">
        <v>339</v>
      </c>
      <c r="F15" s="326">
        <f>1.5+2.27</f>
        <v>3.77</v>
      </c>
      <c r="G15" s="1"/>
      <c r="H15" s="586" t="s">
        <v>340</v>
      </c>
      <c r="I15" s="587"/>
      <c r="J15" s="588"/>
      <c r="K15" s="672" t="s">
        <v>339</v>
      </c>
      <c r="L15" s="519"/>
      <c r="M15" s="673"/>
      <c r="N15" s="519"/>
      <c r="O15" s="1"/>
      <c r="P15" s="311"/>
      <c r="Q15" s="327"/>
      <c r="R15" s="94"/>
      <c r="S15" s="94"/>
      <c r="T15" s="138" t="s">
        <v>344</v>
      </c>
      <c r="U15" s="330"/>
      <c r="V15" s="331">
        <v>4</v>
      </c>
      <c r="W15" s="1"/>
    </row>
    <row r="16" spans="1:34" ht="15.75" customHeight="1">
      <c r="A16" s="75"/>
      <c r="B16" s="8"/>
      <c r="C16" s="8"/>
      <c r="D16" s="328"/>
      <c r="E16" s="138"/>
      <c r="F16" s="326"/>
      <c r="G16" s="1"/>
      <c r="H16" s="677"/>
      <c r="I16" s="541"/>
      <c r="J16" s="678"/>
      <c r="K16" s="672" t="s">
        <v>341</v>
      </c>
      <c r="L16" s="519"/>
      <c r="M16" s="673"/>
      <c r="N16" s="519"/>
      <c r="O16" s="1"/>
      <c r="P16" s="311"/>
      <c r="Q16" s="329"/>
      <c r="R16" s="8"/>
      <c r="S16" s="8"/>
      <c r="T16" s="138"/>
      <c r="U16" s="330"/>
      <c r="V16" s="331"/>
      <c r="W16" s="1"/>
    </row>
    <row r="17" spans="1:34" ht="15.75" customHeight="1">
      <c r="A17" s="75"/>
      <c r="B17" s="8"/>
      <c r="C17" s="8"/>
      <c r="D17" s="328"/>
      <c r="E17" s="138"/>
      <c r="F17" s="326"/>
      <c r="G17" s="1"/>
      <c r="H17" s="677"/>
      <c r="I17" s="541"/>
      <c r="J17" s="678"/>
      <c r="K17" s="138"/>
      <c r="L17" s="138"/>
      <c r="M17" s="222"/>
      <c r="N17" s="222"/>
      <c r="O17" s="1"/>
      <c r="P17" s="311"/>
      <c r="Q17" s="329"/>
      <c r="R17" s="8"/>
      <c r="S17" s="8"/>
      <c r="T17" s="138"/>
      <c r="U17" s="330"/>
      <c r="V17" s="331"/>
      <c r="W17" s="1"/>
    </row>
    <row r="18" spans="1:34" ht="15.75" customHeight="1">
      <c r="A18" s="75"/>
      <c r="B18" s="8"/>
      <c r="C18" s="8"/>
      <c r="D18" s="328"/>
      <c r="E18" s="138"/>
      <c r="F18" s="326"/>
      <c r="G18" s="1"/>
      <c r="H18" s="677"/>
      <c r="I18" s="541"/>
      <c r="J18" s="678"/>
      <c r="K18" s="672" t="s">
        <v>344</v>
      </c>
      <c r="L18" s="519"/>
      <c r="M18" s="673"/>
      <c r="N18" s="519"/>
      <c r="O18" s="1"/>
      <c r="P18" s="311"/>
      <c r="Q18" s="329"/>
      <c r="R18" s="8"/>
      <c r="S18" s="8"/>
      <c r="T18" s="138"/>
      <c r="U18" s="330"/>
      <c r="V18" s="331"/>
      <c r="W18" s="1"/>
    </row>
    <row r="19" spans="1:34" ht="15.75" customHeight="1">
      <c r="A19" s="75"/>
      <c r="B19" s="8"/>
      <c r="C19" s="8"/>
      <c r="D19" s="328"/>
      <c r="E19" s="138"/>
      <c r="F19" s="326"/>
      <c r="G19" s="1"/>
      <c r="H19" s="677"/>
      <c r="I19" s="541"/>
      <c r="J19" s="678"/>
      <c r="K19" s="138"/>
      <c r="L19" s="138"/>
      <c r="M19" s="222"/>
      <c r="N19" s="222"/>
      <c r="O19" s="1"/>
      <c r="P19" s="311"/>
      <c r="Q19" s="329"/>
      <c r="R19" s="8"/>
      <c r="S19" s="8"/>
      <c r="T19" s="138"/>
      <c r="U19" s="330"/>
      <c r="V19" s="331"/>
      <c r="W19" s="1"/>
    </row>
    <row r="20" spans="1:34" ht="15.75" customHeight="1">
      <c r="A20" s="75"/>
      <c r="B20" s="8"/>
      <c r="C20" s="8"/>
      <c r="D20" s="328"/>
      <c r="E20" s="138"/>
      <c r="F20" s="326"/>
      <c r="G20" s="1"/>
      <c r="H20" s="679"/>
      <c r="I20" s="590"/>
      <c r="J20" s="591"/>
      <c r="K20" s="672" t="s">
        <v>342</v>
      </c>
      <c r="L20" s="519"/>
      <c r="M20" s="673"/>
      <c r="N20" s="519"/>
      <c r="O20" s="1"/>
      <c r="P20" s="311"/>
      <c r="Q20" s="329"/>
      <c r="R20" s="8"/>
      <c r="S20" s="8"/>
      <c r="T20" s="138"/>
      <c r="U20" s="330"/>
      <c r="V20" s="331"/>
      <c r="W20" s="1"/>
    </row>
    <row r="21" spans="1:34" ht="15.75" customHeight="1">
      <c r="A21" s="75"/>
      <c r="B21" s="8"/>
      <c r="C21" s="8"/>
      <c r="D21" s="328"/>
      <c r="E21" s="138"/>
      <c r="F21" s="326"/>
      <c r="G21" s="1"/>
      <c r="H21" s="586" t="s">
        <v>345</v>
      </c>
      <c r="I21" s="587"/>
      <c r="J21" s="588"/>
      <c r="K21" s="672" t="s">
        <v>339</v>
      </c>
      <c r="L21" s="519"/>
      <c r="M21" s="680"/>
      <c r="N21" s="519"/>
      <c r="O21" s="1"/>
      <c r="P21" s="311"/>
      <c r="Q21" s="329"/>
      <c r="R21" s="8"/>
      <c r="S21" s="8"/>
      <c r="T21" s="138"/>
      <c r="U21" s="330"/>
      <c r="V21" s="331"/>
      <c r="W21" s="1"/>
    </row>
    <row r="22" spans="1:34" ht="15.75" customHeight="1">
      <c r="A22" s="75"/>
      <c r="B22" s="8"/>
      <c r="C22" s="8"/>
      <c r="D22" s="328"/>
      <c r="E22" s="138"/>
      <c r="F22" s="326"/>
      <c r="G22" s="1"/>
      <c r="H22" s="677"/>
      <c r="I22" s="541"/>
      <c r="J22" s="678"/>
      <c r="K22" s="672" t="s">
        <v>341</v>
      </c>
      <c r="L22" s="519"/>
      <c r="M22" s="680"/>
      <c r="N22" s="519"/>
      <c r="O22" s="1"/>
      <c r="P22" s="311"/>
      <c r="Q22" s="329"/>
      <c r="R22" s="8"/>
      <c r="S22" s="8"/>
      <c r="T22" s="138"/>
      <c r="U22" s="330"/>
      <c r="V22" s="331"/>
      <c r="W22" s="1"/>
    </row>
    <row r="23" spans="1:34" ht="15.75" customHeight="1">
      <c r="A23" s="75"/>
      <c r="B23" s="8"/>
      <c r="C23" s="8"/>
      <c r="D23" s="328"/>
      <c r="E23" s="138"/>
      <c r="F23" s="326"/>
      <c r="G23" s="1"/>
      <c r="H23" s="677"/>
      <c r="I23" s="541"/>
      <c r="J23" s="678"/>
      <c r="K23" s="672" t="s">
        <v>344</v>
      </c>
      <c r="L23" s="519"/>
      <c r="M23" s="680"/>
      <c r="N23" s="519"/>
      <c r="O23" s="1"/>
      <c r="P23" s="311"/>
      <c r="Q23" s="329"/>
      <c r="R23" s="8"/>
      <c r="S23" s="8"/>
      <c r="T23" s="138"/>
      <c r="U23" s="330"/>
      <c r="V23" s="331"/>
      <c r="W23" s="1"/>
    </row>
    <row r="24" spans="1:34" ht="15.75" customHeight="1">
      <c r="A24" s="75"/>
      <c r="B24" s="8"/>
      <c r="C24" s="8"/>
      <c r="D24" s="8"/>
      <c r="E24" s="138"/>
      <c r="F24" s="326"/>
      <c r="G24" s="1"/>
      <c r="H24" s="679"/>
      <c r="I24" s="590"/>
      <c r="J24" s="591"/>
      <c r="K24" s="672" t="s">
        <v>342</v>
      </c>
      <c r="L24" s="519"/>
      <c r="M24" s="680"/>
      <c r="N24" s="519"/>
      <c r="O24" s="1"/>
      <c r="P24" s="311"/>
      <c r="Q24" s="329"/>
      <c r="R24" s="8"/>
      <c r="S24" s="8"/>
      <c r="T24" s="138"/>
      <c r="U24" s="330"/>
      <c r="V24" s="331"/>
      <c r="W24" s="1"/>
    </row>
    <row r="25" spans="1:34" ht="15.75" customHeight="1">
      <c r="A25" s="75"/>
      <c r="B25" s="8"/>
      <c r="C25" s="8"/>
      <c r="D25" s="8"/>
      <c r="E25" s="138"/>
      <c r="F25" s="326"/>
      <c r="G25" s="1"/>
      <c r="H25" s="586" t="s">
        <v>349</v>
      </c>
      <c r="I25" s="587"/>
      <c r="J25" s="588"/>
      <c r="K25" s="672" t="s">
        <v>339</v>
      </c>
      <c r="L25" s="519"/>
      <c r="M25" s="676"/>
      <c r="N25" s="519"/>
      <c r="O25" s="1"/>
      <c r="P25" s="311"/>
      <c r="Q25" s="329"/>
      <c r="R25" s="8"/>
      <c r="S25" s="8"/>
      <c r="T25" s="138"/>
      <c r="U25" s="330"/>
      <c r="V25" s="331"/>
      <c r="W25" s="1"/>
    </row>
    <row r="26" spans="1:34" ht="15.75" customHeight="1">
      <c r="A26" s="75"/>
      <c r="B26" s="8"/>
      <c r="C26" s="8"/>
      <c r="D26" s="8"/>
      <c r="E26" s="138"/>
      <c r="F26" s="326"/>
      <c r="G26" s="1"/>
      <c r="H26" s="677"/>
      <c r="I26" s="541"/>
      <c r="J26" s="678"/>
      <c r="K26" s="672" t="s">
        <v>341</v>
      </c>
      <c r="L26" s="519"/>
      <c r="M26" s="683"/>
      <c r="N26" s="519"/>
      <c r="O26" s="1"/>
      <c r="P26" s="311"/>
      <c r="Q26" s="329"/>
      <c r="R26" s="8"/>
      <c r="S26" s="8"/>
      <c r="T26" s="138"/>
      <c r="U26" s="330"/>
      <c r="V26" s="331"/>
      <c r="W26" s="1"/>
    </row>
    <row r="27" spans="1:34" ht="15.75" customHeight="1">
      <c r="A27" s="75"/>
      <c r="B27" s="8"/>
      <c r="C27" s="8"/>
      <c r="D27" s="8"/>
      <c r="E27" s="138"/>
      <c r="F27" s="326"/>
      <c r="G27" s="1"/>
      <c r="H27" s="677"/>
      <c r="I27" s="541"/>
      <c r="J27" s="678"/>
      <c r="K27" s="672" t="s">
        <v>344</v>
      </c>
      <c r="L27" s="519"/>
      <c r="M27" s="683"/>
      <c r="N27" s="519"/>
      <c r="O27" s="1"/>
      <c r="P27" s="311"/>
      <c r="Q27" s="329"/>
      <c r="R27" s="8"/>
      <c r="S27" s="8"/>
      <c r="T27" s="138"/>
      <c r="U27" s="330"/>
      <c r="V27" s="331"/>
      <c r="W27" s="1"/>
    </row>
    <row r="28" spans="1:34" ht="16.5" customHeight="1">
      <c r="A28" s="6"/>
      <c r="B28" s="11"/>
      <c r="C28" s="6"/>
      <c r="D28" s="6"/>
      <c r="E28" s="6"/>
      <c r="F28" s="6"/>
      <c r="G28" s="6"/>
      <c r="H28" s="679"/>
      <c r="I28" s="590"/>
      <c r="J28" s="591"/>
      <c r="K28" s="682" t="s">
        <v>342</v>
      </c>
      <c r="L28" s="588"/>
      <c r="M28" s="676"/>
      <c r="N28" s="519"/>
      <c r="O28" s="6"/>
      <c r="P28" s="6"/>
      <c r="Q28" s="6"/>
      <c r="R28" s="6"/>
      <c r="S28" s="6"/>
      <c r="T28" s="6"/>
      <c r="U28" s="6"/>
      <c r="V28" s="6"/>
      <c r="W28" s="6"/>
      <c r="X28" s="6"/>
      <c r="Y28" s="6"/>
      <c r="Z28" s="6"/>
      <c r="AA28" s="6"/>
      <c r="AB28" s="6"/>
      <c r="AC28" s="6"/>
      <c r="AD28" s="6"/>
      <c r="AE28" s="6"/>
      <c r="AF28" s="6"/>
      <c r="AG28" s="6"/>
      <c r="AH28" s="6"/>
    </row>
    <row r="29" spans="1:34" ht="18" customHeight="1">
      <c r="A29" s="6"/>
      <c r="B29" s="332"/>
      <c r="C29" s="332"/>
      <c r="D29" s="332"/>
      <c r="E29" s="332"/>
      <c r="F29" s="332"/>
      <c r="G29" s="6"/>
      <c r="H29" s="681" t="s">
        <v>350</v>
      </c>
      <c r="I29" s="587"/>
      <c r="J29" s="588"/>
      <c r="K29" s="682" t="s">
        <v>339</v>
      </c>
      <c r="L29" s="588"/>
      <c r="M29" s="676"/>
      <c r="N29" s="519"/>
      <c r="O29" s="6"/>
      <c r="P29" s="6"/>
      <c r="Q29" s="6"/>
      <c r="R29" s="6"/>
      <c r="S29" s="6"/>
      <c r="T29" s="6"/>
      <c r="U29" s="6"/>
      <c r="V29" s="6"/>
      <c r="W29" s="6"/>
      <c r="X29" s="6"/>
      <c r="Y29" s="6"/>
      <c r="Z29" s="6"/>
      <c r="AA29" s="6"/>
      <c r="AB29" s="6"/>
      <c r="AC29" s="6"/>
      <c r="AD29" s="6"/>
      <c r="AE29" s="6"/>
      <c r="AF29" s="6"/>
      <c r="AG29" s="6"/>
      <c r="AH29" s="6"/>
    </row>
    <row r="30" spans="1:34" ht="18" customHeight="1">
      <c r="A30" s="6"/>
      <c r="B30" s="332"/>
      <c r="C30" s="332"/>
      <c r="D30" s="332"/>
      <c r="E30" s="332"/>
      <c r="F30" s="332"/>
      <c r="G30" s="6"/>
      <c r="H30" s="677"/>
      <c r="I30" s="541"/>
      <c r="J30" s="678"/>
      <c r="K30" s="682" t="s">
        <v>344</v>
      </c>
      <c r="L30" s="588"/>
      <c r="M30" s="676"/>
      <c r="N30" s="519"/>
      <c r="O30" s="6"/>
      <c r="P30" s="6"/>
      <c r="Q30" s="6"/>
      <c r="R30" s="6"/>
      <c r="S30" s="6"/>
      <c r="T30" s="6"/>
      <c r="U30" s="6"/>
      <c r="V30" s="6"/>
      <c r="W30" s="6"/>
      <c r="X30" s="6"/>
      <c r="Y30" s="6"/>
      <c r="Z30" s="6"/>
      <c r="AA30" s="6"/>
      <c r="AB30" s="6"/>
      <c r="AC30" s="6"/>
      <c r="AD30" s="6"/>
      <c r="AE30" s="6"/>
      <c r="AF30" s="6"/>
      <c r="AG30" s="6"/>
      <c r="AH30" s="6"/>
    </row>
    <row r="31" spans="1:34" ht="18" customHeight="1">
      <c r="A31" s="6"/>
      <c r="B31" s="332"/>
      <c r="C31" s="332"/>
      <c r="D31" s="332"/>
      <c r="E31" s="332"/>
      <c r="F31" s="332"/>
      <c r="G31" s="6"/>
      <c r="H31" s="677"/>
      <c r="I31" s="541"/>
      <c r="J31" s="678"/>
      <c r="K31" s="682" t="s">
        <v>341</v>
      </c>
      <c r="L31" s="588"/>
      <c r="M31" s="676"/>
      <c r="N31" s="519"/>
      <c r="O31" s="6"/>
      <c r="P31" s="6"/>
      <c r="Q31" s="6"/>
      <c r="R31" s="6"/>
      <c r="S31" s="6"/>
      <c r="T31" s="6"/>
      <c r="U31" s="6"/>
      <c r="V31" s="6"/>
      <c r="W31" s="6"/>
      <c r="X31" s="6"/>
      <c r="Y31" s="6"/>
      <c r="Z31" s="6"/>
      <c r="AA31" s="6"/>
      <c r="AB31" s="6"/>
      <c r="AC31" s="6"/>
      <c r="AD31" s="6"/>
      <c r="AE31" s="6"/>
      <c r="AF31" s="6"/>
      <c r="AG31" s="6"/>
      <c r="AH31" s="6"/>
    </row>
    <row r="32" spans="1:34" ht="18" customHeight="1">
      <c r="A32" s="6"/>
      <c r="B32" s="332"/>
      <c r="C32" s="332"/>
      <c r="D32" s="332"/>
      <c r="E32" s="332"/>
      <c r="F32" s="332"/>
      <c r="G32" s="6"/>
      <c r="H32" s="679"/>
      <c r="I32" s="590"/>
      <c r="J32" s="591"/>
      <c r="K32" s="682" t="s">
        <v>342</v>
      </c>
      <c r="L32" s="588"/>
      <c r="M32" s="676"/>
      <c r="N32" s="519"/>
      <c r="O32" s="6"/>
      <c r="P32" s="6"/>
      <c r="Q32" s="6"/>
      <c r="R32" s="332"/>
      <c r="S32" s="332"/>
      <c r="T32" s="332"/>
      <c r="U32" s="332"/>
      <c r="V32" s="332"/>
      <c r="W32" s="6"/>
      <c r="X32" s="6"/>
      <c r="Y32" s="6"/>
      <c r="Z32" s="6"/>
      <c r="AA32" s="6"/>
      <c r="AB32" s="6"/>
      <c r="AC32" s="6"/>
      <c r="AD32" s="6"/>
      <c r="AE32" s="6"/>
      <c r="AF32" s="6"/>
      <c r="AG32" s="6"/>
      <c r="AH32" s="6"/>
    </row>
    <row r="33" spans="1:34" ht="18" customHeight="1">
      <c r="A33" s="6"/>
      <c r="B33" s="665" t="s">
        <v>182</v>
      </c>
      <c r="C33" s="521"/>
      <c r="D33" s="521"/>
      <c r="E33" s="521"/>
      <c r="F33" s="519"/>
      <c r="G33" s="6"/>
      <c r="H33" s="681" t="s">
        <v>351</v>
      </c>
      <c r="I33" s="587"/>
      <c r="J33" s="588"/>
      <c r="K33" s="672" t="s">
        <v>339</v>
      </c>
      <c r="L33" s="519"/>
      <c r="M33" s="676"/>
      <c r="N33" s="519"/>
      <c r="O33" s="6"/>
      <c r="P33" s="6"/>
      <c r="Q33" s="6"/>
      <c r="R33" s="665" t="s">
        <v>781</v>
      </c>
      <c r="S33" s="521"/>
      <c r="T33" s="521"/>
      <c r="U33" s="521"/>
      <c r="V33" s="519"/>
      <c r="W33" s="6"/>
      <c r="X33" s="6"/>
      <c r="Y33" s="6"/>
      <c r="Z33" s="6"/>
      <c r="AA33" s="6"/>
      <c r="AB33" s="6"/>
      <c r="AC33" s="6"/>
      <c r="AD33" s="6"/>
      <c r="AE33" s="6"/>
      <c r="AF33" s="6"/>
      <c r="AG33" s="6"/>
      <c r="AH33" s="6"/>
    </row>
    <row r="34" spans="1:34" ht="12.75" customHeight="1">
      <c r="A34" s="6"/>
      <c r="B34" s="11"/>
      <c r="C34" s="6"/>
      <c r="D34" s="6"/>
      <c r="E34" s="6"/>
      <c r="F34" s="6"/>
      <c r="G34" s="6"/>
      <c r="H34" s="677"/>
      <c r="I34" s="541"/>
      <c r="J34" s="678"/>
      <c r="K34" s="672" t="s">
        <v>341</v>
      </c>
      <c r="L34" s="519"/>
      <c r="M34" s="676"/>
      <c r="N34" s="519"/>
      <c r="O34" s="6"/>
      <c r="P34" s="6"/>
      <c r="Q34" s="6"/>
      <c r="R34" s="11"/>
      <c r="S34" s="6"/>
      <c r="T34" s="6"/>
      <c r="U34" s="6"/>
      <c r="V34" s="6"/>
      <c r="W34" s="6"/>
      <c r="X34" s="6"/>
      <c r="Y34" s="6"/>
      <c r="Z34" s="6"/>
      <c r="AA34" s="6"/>
      <c r="AB34" s="6"/>
      <c r="AC34" s="6"/>
      <c r="AD34" s="6"/>
      <c r="AE34" s="6"/>
      <c r="AF34" s="6"/>
      <c r="AG34" s="6"/>
      <c r="AH34" s="6"/>
    </row>
    <row r="35" spans="1:34" ht="15.75" customHeight="1">
      <c r="A35" s="653" t="s">
        <v>136</v>
      </c>
      <c r="B35" s="656" t="s">
        <v>354</v>
      </c>
      <c r="C35" s="656"/>
      <c r="D35" s="685"/>
      <c r="E35" s="138" t="s">
        <v>344</v>
      </c>
      <c r="F35" s="326">
        <v>9.9600000000000009</v>
      </c>
      <c r="G35" s="1"/>
      <c r="H35" s="677"/>
      <c r="I35" s="541"/>
      <c r="J35" s="678"/>
      <c r="K35" s="138"/>
      <c r="L35" s="138"/>
      <c r="M35" s="8"/>
      <c r="N35" s="8"/>
      <c r="O35" s="1"/>
      <c r="P35" s="1"/>
      <c r="Q35" s="629" t="s">
        <v>136</v>
      </c>
      <c r="R35" s="666" t="s">
        <v>352</v>
      </c>
      <c r="S35" s="666"/>
      <c r="T35" s="666"/>
      <c r="U35" s="666"/>
      <c r="V35" s="497"/>
      <c r="W35" s="498" t="s">
        <v>344</v>
      </c>
      <c r="X35" s="499">
        <v>9.9600000000000009</v>
      </c>
    </row>
    <row r="36" spans="1:34" ht="15.75" customHeight="1">
      <c r="A36" s="655" t="s">
        <v>150</v>
      </c>
      <c r="B36" s="615"/>
      <c r="C36" s="615"/>
      <c r="D36" s="615"/>
      <c r="E36" s="138" t="s">
        <v>339</v>
      </c>
      <c r="F36" s="326" t="s">
        <v>353</v>
      </c>
      <c r="G36" s="1"/>
      <c r="H36" s="677"/>
      <c r="I36" s="541"/>
      <c r="J36" s="678"/>
      <c r="K36" s="138"/>
      <c r="L36" s="138"/>
      <c r="M36" s="8"/>
      <c r="N36" s="8"/>
      <c r="O36" s="1"/>
      <c r="P36" s="1"/>
      <c r="Q36" s="630"/>
      <c r="R36" s="637"/>
      <c r="S36" s="666"/>
      <c r="T36" s="666"/>
      <c r="U36" s="666"/>
      <c r="V36" s="496"/>
      <c r="W36" s="498" t="s">
        <v>339</v>
      </c>
      <c r="X36" s="499" t="s">
        <v>353</v>
      </c>
    </row>
    <row r="37" spans="1:34" ht="15.75" customHeight="1">
      <c r="A37" s="655" t="s">
        <v>150</v>
      </c>
      <c r="B37" s="576"/>
      <c r="C37" s="576"/>
      <c r="D37" s="576"/>
      <c r="E37" s="138" t="s">
        <v>341</v>
      </c>
      <c r="F37" s="326">
        <v>16.11</v>
      </c>
      <c r="G37" s="1"/>
      <c r="H37" s="677"/>
      <c r="I37" s="541"/>
      <c r="J37" s="678"/>
      <c r="K37" s="138"/>
      <c r="L37" s="138"/>
      <c r="M37" s="8"/>
      <c r="N37" s="8"/>
      <c r="O37" s="1"/>
      <c r="P37" s="1"/>
      <c r="Q37" s="631"/>
      <c r="R37" s="637"/>
      <c r="S37" s="666"/>
      <c r="T37" s="666"/>
      <c r="U37" s="666"/>
      <c r="V37" s="496"/>
      <c r="W37" s="498" t="s">
        <v>341</v>
      </c>
      <c r="X37" s="499">
        <v>16.11</v>
      </c>
    </row>
    <row r="38" spans="1:34" ht="15.75" customHeight="1">
      <c r="A38" s="641"/>
      <c r="B38" s="642"/>
      <c r="C38" s="642"/>
      <c r="D38" s="642"/>
      <c r="E38" s="643"/>
      <c r="F38" s="504">
        <f>SUM(F35:F37)</f>
        <v>26.07</v>
      </c>
      <c r="G38" s="1"/>
      <c r="H38" s="677"/>
      <c r="I38" s="541"/>
      <c r="J38" s="678"/>
      <c r="K38" s="138"/>
      <c r="L38" s="138"/>
      <c r="M38" s="8"/>
      <c r="N38" s="8"/>
      <c r="O38" s="1"/>
      <c r="P38" s="1"/>
      <c r="Q38" s="638"/>
      <c r="R38" s="639"/>
      <c r="S38" s="639"/>
      <c r="T38" s="639"/>
      <c r="U38" s="639"/>
      <c r="V38" s="639"/>
      <c r="W38" s="640"/>
      <c r="X38" s="509">
        <f>SUM(X35:X37)</f>
        <v>26.07</v>
      </c>
    </row>
    <row r="39" spans="1:34" ht="15.75" customHeight="1">
      <c r="A39" s="653"/>
      <c r="B39" s="656"/>
      <c r="C39" s="656"/>
      <c r="D39" s="685"/>
      <c r="E39" s="138"/>
      <c r="F39" s="326"/>
      <c r="G39" s="1"/>
      <c r="H39" s="677"/>
      <c r="I39" s="541"/>
      <c r="J39" s="678"/>
      <c r="K39" s="138"/>
      <c r="L39" s="138"/>
      <c r="M39" s="8"/>
      <c r="N39" s="8"/>
      <c r="O39" s="1"/>
      <c r="P39" s="1"/>
      <c r="Q39" s="629"/>
      <c r="R39" s="635"/>
      <c r="S39" s="635"/>
      <c r="T39" s="635"/>
      <c r="U39" s="635"/>
      <c r="V39" s="497"/>
      <c r="W39" s="498"/>
      <c r="X39" s="499"/>
    </row>
    <row r="40" spans="1:34" ht="15.75" customHeight="1">
      <c r="A40" s="655"/>
      <c r="B40" s="615"/>
      <c r="C40" s="615"/>
      <c r="D40" s="615"/>
      <c r="E40" s="138"/>
      <c r="F40" s="326"/>
      <c r="G40" s="1"/>
      <c r="H40" s="677"/>
      <c r="I40" s="541"/>
      <c r="J40" s="678"/>
      <c r="K40" s="138"/>
      <c r="L40" s="138"/>
      <c r="M40" s="8"/>
      <c r="N40" s="8"/>
      <c r="O40" s="1"/>
      <c r="P40" s="1"/>
      <c r="Q40" s="630"/>
      <c r="R40" s="637"/>
      <c r="S40" s="635"/>
      <c r="T40" s="635"/>
      <c r="U40" s="635"/>
      <c r="V40" s="496"/>
      <c r="W40" s="498"/>
      <c r="X40" s="499"/>
    </row>
    <row r="41" spans="1:34" ht="15.75" customHeight="1">
      <c r="A41" s="655"/>
      <c r="B41" s="576"/>
      <c r="C41" s="576"/>
      <c r="D41" s="576"/>
      <c r="E41" s="138"/>
      <c r="F41" s="326"/>
      <c r="G41" s="1"/>
      <c r="H41" s="677"/>
      <c r="I41" s="541"/>
      <c r="J41" s="678"/>
      <c r="K41" s="138"/>
      <c r="L41" s="138"/>
      <c r="M41" s="8"/>
      <c r="N41" s="8"/>
      <c r="O41" s="1"/>
      <c r="P41" s="1"/>
      <c r="Q41" s="631"/>
      <c r="R41" s="637"/>
      <c r="S41" s="635"/>
      <c r="T41" s="635"/>
      <c r="U41" s="635"/>
      <c r="V41" s="496"/>
      <c r="W41" s="498"/>
      <c r="X41" s="499"/>
    </row>
    <row r="42" spans="1:34" ht="15.75" customHeight="1">
      <c r="A42" s="641"/>
      <c r="B42" s="642"/>
      <c r="C42" s="642"/>
      <c r="D42" s="642"/>
      <c r="E42" s="643"/>
      <c r="F42" s="504"/>
      <c r="G42" s="1"/>
      <c r="H42" s="677"/>
      <c r="I42" s="541"/>
      <c r="J42" s="678"/>
      <c r="K42" s="505"/>
      <c r="L42" s="198"/>
      <c r="M42" s="506"/>
      <c r="N42" s="507"/>
      <c r="O42" s="1"/>
      <c r="P42" s="1"/>
      <c r="Q42" s="638"/>
      <c r="R42" s="639"/>
      <c r="S42" s="639"/>
      <c r="T42" s="639"/>
      <c r="U42" s="639"/>
      <c r="V42" s="639"/>
      <c r="W42" s="640"/>
      <c r="X42" s="509"/>
    </row>
    <row r="43" spans="1:34" ht="15.75" customHeight="1">
      <c r="A43" s="653"/>
      <c r="B43" s="656"/>
      <c r="C43" s="656"/>
      <c r="D43" s="685"/>
      <c r="E43" s="138"/>
      <c r="F43" s="326"/>
      <c r="G43" s="1"/>
      <c r="H43" s="677"/>
      <c r="I43" s="541"/>
      <c r="J43" s="678"/>
      <c r="K43" s="672" t="s">
        <v>344</v>
      </c>
      <c r="L43" s="519"/>
      <c r="M43" s="676"/>
      <c r="N43" s="519"/>
      <c r="O43" s="1"/>
      <c r="P43" s="311"/>
      <c r="Q43" s="629"/>
      <c r="R43" s="635"/>
      <c r="S43" s="635"/>
      <c r="T43" s="635"/>
      <c r="U43" s="635"/>
      <c r="V43" s="497"/>
      <c r="W43" s="498"/>
      <c r="X43" s="499"/>
    </row>
    <row r="44" spans="1:34" ht="15.75" customHeight="1">
      <c r="A44" s="655"/>
      <c r="B44" s="615"/>
      <c r="C44" s="615"/>
      <c r="D44" s="615"/>
      <c r="E44" s="138"/>
      <c r="F44" s="326"/>
      <c r="G44" s="1"/>
      <c r="H44" s="679"/>
      <c r="I44" s="590"/>
      <c r="J44" s="591"/>
      <c r="K44" s="672" t="s">
        <v>342</v>
      </c>
      <c r="L44" s="519"/>
      <c r="M44" s="680"/>
      <c r="N44" s="519"/>
      <c r="O44" s="1"/>
      <c r="P44" s="311"/>
      <c r="Q44" s="630"/>
      <c r="R44" s="637"/>
      <c r="S44" s="635"/>
      <c r="T44" s="635"/>
      <c r="U44" s="635"/>
      <c r="V44" s="496"/>
      <c r="W44" s="498"/>
      <c r="X44" s="499"/>
    </row>
    <row r="45" spans="1:34" ht="15.75" customHeight="1">
      <c r="A45" s="655"/>
      <c r="B45" s="576"/>
      <c r="C45" s="576"/>
      <c r="D45" s="576"/>
      <c r="E45" s="138"/>
      <c r="F45" s="326"/>
      <c r="G45" s="1"/>
      <c r="H45" s="1"/>
      <c r="I45" s="1"/>
      <c r="J45" s="1"/>
      <c r="K45" s="1"/>
      <c r="L45" s="1"/>
      <c r="M45" s="684"/>
      <c r="N45" s="519"/>
      <c r="O45" s="1"/>
      <c r="P45" s="311"/>
      <c r="Q45" s="631"/>
      <c r="R45" s="637"/>
      <c r="S45" s="635"/>
      <c r="T45" s="635"/>
      <c r="U45" s="635"/>
      <c r="V45" s="496"/>
      <c r="W45" s="498"/>
      <c r="X45" s="499"/>
    </row>
    <row r="46" spans="1:34" ht="15.75" customHeight="1">
      <c r="A46" s="641"/>
      <c r="B46" s="642"/>
      <c r="C46" s="642"/>
      <c r="D46" s="642"/>
      <c r="E46" s="643"/>
      <c r="F46" s="504"/>
      <c r="G46" s="1"/>
      <c r="H46" s="1"/>
      <c r="I46" s="1"/>
      <c r="J46" s="1"/>
      <c r="K46" s="1"/>
      <c r="L46" s="1"/>
      <c r="M46" s="1"/>
      <c r="N46" s="508"/>
      <c r="O46" s="1"/>
      <c r="P46" s="311"/>
      <c r="Q46" s="632"/>
      <c r="R46" s="633"/>
      <c r="S46" s="633"/>
      <c r="T46" s="633"/>
      <c r="U46" s="633"/>
      <c r="V46" s="633"/>
      <c r="W46" s="634"/>
      <c r="X46" s="509"/>
    </row>
    <row r="47" spans="1:34" ht="15.75" customHeight="1">
      <c r="A47" s="653"/>
      <c r="B47" s="656"/>
      <c r="C47" s="656"/>
      <c r="D47" s="657"/>
      <c r="E47" s="138"/>
      <c r="F47" s="326"/>
      <c r="G47" s="1"/>
      <c r="H47" s="1"/>
      <c r="I47" s="1"/>
      <c r="J47" s="1"/>
      <c r="K47" s="1"/>
      <c r="L47" s="1"/>
      <c r="M47" s="1"/>
      <c r="N47" s="1"/>
      <c r="O47" s="1"/>
      <c r="P47" s="311"/>
      <c r="Q47" s="666"/>
      <c r="R47" s="635"/>
      <c r="S47" s="635"/>
      <c r="T47" s="635"/>
      <c r="U47" s="635"/>
      <c r="V47" s="500"/>
      <c r="W47" s="498"/>
    </row>
    <row r="48" spans="1:34" ht="15.75" customHeight="1">
      <c r="A48" s="655"/>
      <c r="B48" s="615"/>
      <c r="C48" s="615"/>
      <c r="D48" s="615"/>
      <c r="E48" s="138"/>
      <c r="F48" s="326"/>
      <c r="G48" s="1"/>
      <c r="H48" s="1"/>
      <c r="I48" s="1"/>
      <c r="J48" s="1"/>
      <c r="K48" s="1"/>
      <c r="L48" s="1"/>
      <c r="M48" s="1"/>
      <c r="N48" s="1"/>
      <c r="O48" s="1"/>
      <c r="P48" s="311"/>
      <c r="Q48" s="637"/>
      <c r="R48" s="637"/>
      <c r="S48" s="635"/>
      <c r="T48" s="635"/>
      <c r="U48" s="635"/>
      <c r="V48" s="496"/>
      <c r="W48" s="498"/>
      <c r="X48" s="499"/>
    </row>
    <row r="49" spans="1:24" ht="15.75" customHeight="1">
      <c r="A49" s="655"/>
      <c r="B49" s="615"/>
      <c r="C49" s="615"/>
      <c r="D49" s="615"/>
      <c r="E49" s="138"/>
      <c r="F49" s="326"/>
      <c r="G49" s="1"/>
      <c r="H49" s="1"/>
      <c r="I49" s="1"/>
      <c r="J49" s="1"/>
      <c r="K49" s="1"/>
      <c r="L49" s="1"/>
      <c r="M49" s="1"/>
      <c r="N49" s="1"/>
      <c r="O49" s="1"/>
      <c r="P49" s="311"/>
      <c r="Q49" s="637"/>
      <c r="R49" s="637"/>
      <c r="S49" s="635"/>
      <c r="T49" s="635"/>
      <c r="U49" s="635"/>
      <c r="V49" s="496"/>
      <c r="W49" s="498"/>
      <c r="X49" s="499"/>
    </row>
    <row r="50" spans="1:24" ht="15.75" customHeight="1">
      <c r="A50" s="654"/>
      <c r="B50" s="576"/>
      <c r="C50" s="576"/>
      <c r="D50" s="576"/>
      <c r="E50" s="138"/>
      <c r="F50" s="326"/>
      <c r="G50" s="1"/>
      <c r="H50" s="1"/>
      <c r="I50" s="1"/>
      <c r="J50" s="1"/>
      <c r="K50" s="1"/>
      <c r="L50" s="1"/>
      <c r="M50" s="1"/>
      <c r="N50" s="1"/>
      <c r="O50" s="1"/>
      <c r="P50" s="311"/>
      <c r="Q50" s="637"/>
      <c r="R50" s="637"/>
      <c r="S50" s="635"/>
      <c r="T50" s="635"/>
      <c r="U50" s="635"/>
      <c r="V50" s="496"/>
      <c r="W50" s="498"/>
      <c r="X50" s="499"/>
    </row>
    <row r="51" spans="1:24" ht="15.75" customHeight="1">
      <c r="A51" s="641"/>
      <c r="B51" s="642"/>
      <c r="C51" s="642"/>
      <c r="D51" s="642"/>
      <c r="E51" s="643"/>
      <c r="F51" s="504"/>
      <c r="G51" s="1"/>
      <c r="H51" s="1"/>
      <c r="I51" s="1"/>
      <c r="J51" s="1"/>
      <c r="K51" s="1"/>
      <c r="L51" s="1"/>
      <c r="M51" s="1"/>
      <c r="N51" s="1"/>
      <c r="O51" s="1"/>
      <c r="P51" s="311"/>
      <c r="Q51" s="632"/>
      <c r="R51" s="633"/>
      <c r="S51" s="633"/>
      <c r="T51" s="633"/>
      <c r="U51" s="633"/>
      <c r="V51" s="633"/>
      <c r="W51" s="634"/>
      <c r="X51" s="509"/>
    </row>
    <row r="52" spans="1:24" ht="15.75" customHeight="1">
      <c r="A52" s="653"/>
      <c r="B52" s="656"/>
      <c r="C52" s="656"/>
      <c r="D52" s="657"/>
      <c r="E52" s="138"/>
      <c r="F52" s="326"/>
      <c r="G52" s="1"/>
      <c r="H52" s="1"/>
      <c r="I52" s="1"/>
      <c r="J52" s="1"/>
      <c r="K52" s="1"/>
      <c r="L52" s="1"/>
      <c r="M52" s="1"/>
      <c r="N52" s="1"/>
      <c r="O52" s="1"/>
      <c r="P52" s="311"/>
      <c r="Q52" s="666"/>
      <c r="R52" s="635"/>
      <c r="S52" s="635"/>
      <c r="T52" s="635"/>
      <c r="U52" s="635"/>
      <c r="V52" s="500"/>
      <c r="W52" s="498"/>
      <c r="X52" s="499"/>
    </row>
    <row r="53" spans="1:24" ht="15.75" customHeight="1">
      <c r="A53" s="655"/>
      <c r="B53" s="615"/>
      <c r="C53" s="615"/>
      <c r="D53" s="615"/>
      <c r="E53" s="138"/>
      <c r="F53" s="326"/>
      <c r="G53" s="1"/>
      <c r="H53" s="1"/>
      <c r="I53" s="1"/>
      <c r="J53" s="1"/>
      <c r="K53" s="1"/>
      <c r="L53" s="1"/>
      <c r="M53" s="1"/>
      <c r="N53" s="1"/>
      <c r="O53" s="1"/>
      <c r="P53" s="333"/>
      <c r="Q53" s="637"/>
      <c r="R53" s="637"/>
      <c r="S53" s="635"/>
      <c r="T53" s="635"/>
      <c r="U53" s="635"/>
      <c r="V53" s="496"/>
      <c r="W53" s="498"/>
      <c r="X53" s="499"/>
    </row>
    <row r="54" spans="1:24" ht="15" customHeight="1">
      <c r="A54" s="654"/>
      <c r="B54" s="576"/>
      <c r="C54" s="576"/>
      <c r="D54" s="576"/>
      <c r="E54" s="138"/>
      <c r="F54" s="326"/>
      <c r="G54" s="1"/>
      <c r="H54" s="1"/>
      <c r="I54" s="1"/>
      <c r="J54" s="1"/>
      <c r="K54" s="1"/>
      <c r="L54" s="1"/>
      <c r="M54" s="1"/>
      <c r="N54" s="1"/>
      <c r="O54" s="1"/>
      <c r="P54" s="333"/>
      <c r="Q54" s="637"/>
      <c r="R54" s="637"/>
      <c r="S54" s="635"/>
      <c r="T54" s="635"/>
      <c r="U54" s="635"/>
      <c r="V54" s="496"/>
      <c r="W54" s="498"/>
      <c r="X54" s="499"/>
    </row>
    <row r="55" spans="1:24" ht="15" customHeight="1">
      <c r="A55" s="641"/>
      <c r="B55" s="642"/>
      <c r="C55" s="642"/>
      <c r="D55" s="642"/>
      <c r="E55" s="643"/>
      <c r="F55" s="504"/>
      <c r="G55" s="1"/>
      <c r="H55" s="1"/>
      <c r="I55" s="1"/>
      <c r="J55" s="1"/>
      <c r="K55" s="1"/>
      <c r="L55" s="1"/>
      <c r="M55" s="1"/>
      <c r="N55" s="1"/>
      <c r="O55" s="1"/>
      <c r="P55" s="333"/>
      <c r="Q55" s="632"/>
      <c r="R55" s="633"/>
      <c r="S55" s="633"/>
      <c r="T55" s="633"/>
      <c r="U55" s="633"/>
      <c r="V55" s="633"/>
      <c r="W55" s="634"/>
      <c r="X55" s="509"/>
    </row>
    <row r="56" spans="1:24" ht="15" customHeight="1">
      <c r="A56" s="653"/>
      <c r="B56" s="656"/>
      <c r="C56" s="656"/>
      <c r="D56" s="657"/>
      <c r="E56" s="138"/>
      <c r="F56" s="326"/>
      <c r="G56" s="1"/>
      <c r="H56" s="1"/>
      <c r="I56" s="1"/>
      <c r="J56" s="1"/>
      <c r="K56" s="1"/>
      <c r="L56" s="1"/>
      <c r="M56" s="1"/>
      <c r="N56" s="1"/>
      <c r="O56" s="1"/>
      <c r="P56" s="333"/>
      <c r="Q56" s="661"/>
      <c r="R56" s="635"/>
      <c r="S56" s="635"/>
      <c r="T56" s="635"/>
      <c r="U56" s="635"/>
      <c r="V56" s="500"/>
      <c r="W56" s="498"/>
      <c r="X56" s="499"/>
    </row>
    <row r="57" spans="1:24" ht="15.75" customHeight="1">
      <c r="A57" s="576"/>
      <c r="B57" s="576"/>
      <c r="C57" s="576"/>
      <c r="D57" s="576"/>
      <c r="E57" s="138"/>
      <c r="F57" s="326"/>
      <c r="G57" s="1"/>
      <c r="H57" s="1"/>
      <c r="I57" s="1"/>
      <c r="J57" s="1"/>
      <c r="K57" s="1"/>
      <c r="L57" s="1"/>
      <c r="M57" s="1"/>
      <c r="N57" s="1"/>
      <c r="O57" s="1"/>
      <c r="P57" s="333"/>
      <c r="Q57" s="637"/>
      <c r="R57" s="637"/>
      <c r="S57" s="635"/>
      <c r="T57" s="635"/>
      <c r="U57" s="635"/>
      <c r="V57" s="496"/>
      <c r="W57" s="498"/>
      <c r="X57" s="499"/>
    </row>
    <row r="58" spans="1:24" ht="15.75" customHeight="1">
      <c r="A58" s="641"/>
      <c r="B58" s="642"/>
      <c r="C58" s="642"/>
      <c r="D58" s="642"/>
      <c r="E58" s="643"/>
      <c r="F58" s="504"/>
      <c r="G58" s="1"/>
      <c r="H58" s="1"/>
      <c r="I58" s="1"/>
      <c r="J58" s="1"/>
      <c r="K58" s="1"/>
      <c r="L58" s="1"/>
      <c r="M58" s="1"/>
      <c r="N58" s="1"/>
      <c r="O58" s="1"/>
      <c r="P58" s="333"/>
      <c r="Q58" s="632"/>
      <c r="R58" s="633"/>
      <c r="S58" s="633"/>
      <c r="T58" s="633"/>
      <c r="U58" s="633"/>
      <c r="V58" s="633"/>
      <c r="W58" s="634"/>
      <c r="X58" s="509"/>
    </row>
    <row r="59" spans="1:24" ht="15.75" customHeight="1">
      <c r="A59" s="653"/>
      <c r="B59" s="660"/>
      <c r="C59" s="656"/>
      <c r="D59" s="657"/>
      <c r="E59" s="44"/>
      <c r="F59" s="326"/>
      <c r="G59" s="1"/>
      <c r="H59" s="1"/>
      <c r="I59" s="1"/>
      <c r="J59" s="1"/>
      <c r="K59" s="1"/>
      <c r="L59" s="1"/>
      <c r="M59" s="1"/>
      <c r="N59" s="1"/>
      <c r="O59" s="1"/>
      <c r="P59" s="333"/>
      <c r="Q59" s="661"/>
      <c r="R59" s="636"/>
      <c r="S59" s="635"/>
      <c r="T59" s="635"/>
      <c r="U59" s="635"/>
      <c r="V59" s="500"/>
      <c r="W59" s="503"/>
      <c r="X59" s="499"/>
    </row>
    <row r="60" spans="1:24" ht="15.75" customHeight="1">
      <c r="A60" s="615"/>
      <c r="B60" s="615"/>
      <c r="C60" s="615"/>
      <c r="D60" s="615"/>
      <c r="E60" s="44"/>
      <c r="F60" s="326"/>
      <c r="G60" s="1"/>
      <c r="H60" s="1"/>
      <c r="I60" s="1"/>
      <c r="J60" s="1"/>
      <c r="K60" s="1"/>
      <c r="L60" s="1"/>
      <c r="M60" s="1"/>
      <c r="N60" s="1"/>
      <c r="O60" s="1"/>
      <c r="P60" s="333"/>
      <c r="Q60" s="637"/>
      <c r="R60" s="637"/>
      <c r="S60" s="635"/>
      <c r="T60" s="635"/>
      <c r="U60" s="635"/>
      <c r="V60" s="496"/>
      <c r="W60" s="503"/>
      <c r="X60" s="499"/>
    </row>
    <row r="61" spans="1:24" ht="15.75" customHeight="1">
      <c r="A61" s="576"/>
      <c r="B61" s="576"/>
      <c r="C61" s="576"/>
      <c r="D61" s="576"/>
      <c r="E61" s="44"/>
      <c r="F61" s="326"/>
      <c r="G61" s="1"/>
      <c r="H61" s="1"/>
      <c r="I61" s="1"/>
      <c r="J61" s="1"/>
      <c r="K61" s="1"/>
      <c r="L61" s="1"/>
      <c r="M61" s="1"/>
      <c r="N61" s="1"/>
      <c r="O61" s="1"/>
      <c r="P61" s="333"/>
      <c r="Q61" s="637"/>
      <c r="R61" s="637"/>
      <c r="S61" s="635"/>
      <c r="T61" s="635"/>
      <c r="U61" s="635"/>
      <c r="V61" s="496"/>
      <c r="W61" s="503"/>
      <c r="X61" s="499"/>
    </row>
    <row r="62" spans="1:24" ht="15.75" customHeight="1">
      <c r="A62" s="641"/>
      <c r="B62" s="642"/>
      <c r="C62" s="642"/>
      <c r="D62" s="642"/>
      <c r="E62" s="643"/>
      <c r="F62" s="504"/>
      <c r="G62" s="1"/>
      <c r="H62" s="1"/>
      <c r="I62" s="1"/>
      <c r="J62" s="1"/>
      <c r="K62" s="1"/>
      <c r="L62" s="1"/>
      <c r="M62" s="1"/>
      <c r="N62" s="1"/>
      <c r="O62" s="1"/>
      <c r="P62" s="333"/>
      <c r="Q62" s="632"/>
      <c r="R62" s="633"/>
      <c r="S62" s="633"/>
      <c r="T62" s="633"/>
      <c r="U62" s="633"/>
      <c r="V62" s="633"/>
      <c r="W62" s="634"/>
      <c r="X62" s="509"/>
    </row>
    <row r="63" spans="1:24" ht="15.75" customHeight="1">
      <c r="A63" s="653"/>
      <c r="B63" s="656"/>
      <c r="C63" s="656"/>
      <c r="D63" s="657"/>
      <c r="E63" s="44"/>
      <c r="F63" s="326"/>
      <c r="G63" s="1"/>
      <c r="H63" s="1"/>
      <c r="I63" s="1"/>
      <c r="J63" s="1"/>
      <c r="K63" s="1"/>
      <c r="L63" s="1"/>
      <c r="M63" s="1"/>
      <c r="N63" s="1"/>
      <c r="O63" s="1"/>
      <c r="P63" s="333"/>
      <c r="Q63" s="661"/>
      <c r="R63" s="635"/>
      <c r="S63" s="635"/>
      <c r="T63" s="635"/>
      <c r="U63" s="635"/>
      <c r="V63" s="500"/>
      <c r="W63" s="503"/>
      <c r="X63" s="499"/>
    </row>
    <row r="64" spans="1:24" ht="15.75" customHeight="1">
      <c r="A64" s="615"/>
      <c r="B64" s="615"/>
      <c r="C64" s="615"/>
      <c r="D64" s="615"/>
      <c r="E64" s="44"/>
      <c r="F64" s="326"/>
      <c r="G64" s="1"/>
      <c r="H64" s="1"/>
      <c r="I64" s="1"/>
      <c r="J64" s="1"/>
      <c r="K64" s="1"/>
      <c r="L64" s="1"/>
      <c r="M64" s="1"/>
      <c r="N64" s="1"/>
      <c r="O64" s="1"/>
      <c r="P64" s="333"/>
      <c r="Q64" s="637"/>
      <c r="R64" s="637"/>
      <c r="S64" s="635"/>
      <c r="T64" s="635"/>
      <c r="U64" s="635"/>
      <c r="V64" s="496"/>
      <c r="W64" s="503"/>
      <c r="X64" s="499"/>
    </row>
    <row r="65" spans="1:24" ht="15.75" customHeight="1">
      <c r="A65" s="576"/>
      <c r="B65" s="576"/>
      <c r="C65" s="576"/>
      <c r="D65" s="576"/>
      <c r="E65" s="44"/>
      <c r="F65" s="326"/>
      <c r="G65" s="1"/>
      <c r="H65" s="1"/>
      <c r="I65" s="1"/>
      <c r="J65" s="1"/>
      <c r="K65" s="1"/>
      <c r="L65" s="1"/>
      <c r="M65" s="1"/>
      <c r="N65" s="1"/>
      <c r="O65" s="1"/>
      <c r="P65" s="333"/>
      <c r="Q65" s="637"/>
      <c r="R65" s="637"/>
      <c r="S65" s="635"/>
      <c r="T65" s="635"/>
      <c r="U65" s="635"/>
      <c r="V65" s="496"/>
      <c r="W65" s="503"/>
      <c r="X65" s="499"/>
    </row>
    <row r="66" spans="1:24" ht="15.75" customHeight="1">
      <c r="A66" s="641"/>
      <c r="B66" s="642"/>
      <c r="C66" s="642"/>
      <c r="D66" s="642"/>
      <c r="E66" s="643"/>
      <c r="F66" s="504"/>
      <c r="G66" s="1"/>
      <c r="H66" s="1"/>
      <c r="I66" s="1"/>
      <c r="J66" s="1"/>
      <c r="K66" s="1"/>
      <c r="L66" s="1"/>
      <c r="M66" s="1"/>
      <c r="N66" s="1"/>
      <c r="O66" s="1"/>
      <c r="P66" s="333"/>
      <c r="Q66" s="632"/>
      <c r="R66" s="633"/>
      <c r="S66" s="633"/>
      <c r="T66" s="633"/>
      <c r="U66" s="633"/>
      <c r="V66" s="633"/>
      <c r="W66" s="634"/>
      <c r="X66" s="509"/>
    </row>
    <row r="67" spans="1:24" ht="15.75" customHeight="1">
      <c r="A67" s="653"/>
      <c r="B67" s="656"/>
      <c r="C67" s="656"/>
      <c r="D67" s="657"/>
      <c r="E67" s="44"/>
      <c r="F67" s="326"/>
      <c r="G67" s="1"/>
      <c r="H67" s="1"/>
      <c r="I67" s="1"/>
      <c r="J67" s="1"/>
      <c r="K67" s="1"/>
      <c r="L67" s="1"/>
      <c r="M67" s="1"/>
      <c r="N67" s="1"/>
      <c r="O67" s="1"/>
      <c r="P67" s="333"/>
      <c r="Q67" s="626"/>
      <c r="R67" s="635"/>
      <c r="S67" s="635"/>
      <c r="T67" s="635"/>
      <c r="U67" s="635"/>
      <c r="V67" s="500"/>
      <c r="W67" s="503"/>
      <c r="X67" s="499"/>
    </row>
    <row r="68" spans="1:24" ht="15.75" customHeight="1">
      <c r="A68" s="654"/>
      <c r="B68" s="576"/>
      <c r="C68" s="576"/>
      <c r="D68" s="576"/>
      <c r="E68" s="44"/>
      <c r="F68" s="326"/>
      <c r="G68" s="1"/>
      <c r="H68" s="1"/>
      <c r="I68" s="1"/>
      <c r="J68" s="1"/>
      <c r="K68" s="1"/>
      <c r="L68" s="1"/>
      <c r="M68" s="1"/>
      <c r="N68" s="1"/>
      <c r="O68" s="1"/>
      <c r="P68" s="333"/>
      <c r="Q68" s="628"/>
      <c r="R68" s="637"/>
      <c r="S68" s="635"/>
      <c r="T68" s="635"/>
      <c r="U68" s="635"/>
      <c r="V68" s="496"/>
      <c r="W68" s="503"/>
      <c r="X68" s="499"/>
    </row>
    <row r="69" spans="1:24" ht="15.75" customHeight="1">
      <c r="A69" s="641"/>
      <c r="B69" s="642"/>
      <c r="C69" s="642"/>
      <c r="D69" s="642"/>
      <c r="E69" s="643"/>
      <c r="F69" s="504"/>
      <c r="G69" s="1"/>
      <c r="H69" s="1"/>
      <c r="I69" s="1"/>
      <c r="J69" s="1"/>
      <c r="K69" s="1"/>
      <c r="L69" s="1"/>
      <c r="M69" s="1"/>
      <c r="N69" s="1"/>
      <c r="O69" s="1"/>
      <c r="P69" s="333"/>
      <c r="Q69" s="632"/>
      <c r="R69" s="633"/>
      <c r="S69" s="633"/>
      <c r="T69" s="633"/>
      <c r="U69" s="633"/>
      <c r="V69" s="633"/>
      <c r="W69" s="634"/>
      <c r="X69" s="509"/>
    </row>
    <row r="70" spans="1:24" ht="15.75" customHeight="1">
      <c r="A70" s="653"/>
      <c r="B70" s="656"/>
      <c r="C70" s="656"/>
      <c r="D70" s="657"/>
      <c r="E70" s="44"/>
      <c r="F70" s="326"/>
      <c r="G70" s="1"/>
      <c r="H70" s="1"/>
      <c r="I70" s="1"/>
      <c r="J70" s="1"/>
      <c r="K70" s="1"/>
      <c r="L70" s="1"/>
      <c r="M70" s="1"/>
      <c r="N70" s="1"/>
      <c r="O70" s="1"/>
      <c r="P70" s="333"/>
      <c r="Q70" s="661"/>
      <c r="R70" s="635"/>
      <c r="S70" s="635"/>
      <c r="T70" s="635"/>
      <c r="U70" s="635"/>
      <c r="V70" s="500"/>
      <c r="W70" s="503"/>
      <c r="X70" s="499"/>
    </row>
    <row r="71" spans="1:24" ht="15.75" customHeight="1">
      <c r="A71" s="615"/>
      <c r="B71" s="615"/>
      <c r="C71" s="615"/>
      <c r="D71" s="615"/>
      <c r="E71" s="44"/>
      <c r="F71" s="326"/>
      <c r="G71" s="1"/>
      <c r="H71" s="1"/>
      <c r="I71" s="1"/>
      <c r="J71" s="1"/>
      <c r="K71" s="1"/>
      <c r="L71" s="1"/>
      <c r="M71" s="1"/>
      <c r="N71" s="1"/>
      <c r="O71" s="1"/>
      <c r="P71" s="333"/>
      <c r="Q71" s="637"/>
      <c r="R71" s="637"/>
      <c r="S71" s="635"/>
      <c r="T71" s="635"/>
      <c r="U71" s="635"/>
      <c r="V71" s="496"/>
      <c r="W71" s="503"/>
      <c r="X71" s="499"/>
    </row>
    <row r="72" spans="1:24" ht="15.75" customHeight="1">
      <c r="A72" s="576"/>
      <c r="B72" s="576"/>
      <c r="C72" s="576"/>
      <c r="D72" s="576"/>
      <c r="E72" s="44"/>
      <c r="F72" s="326"/>
      <c r="G72" s="1"/>
      <c r="H72" s="1"/>
      <c r="I72" s="1"/>
      <c r="J72" s="1"/>
      <c r="K72" s="1"/>
      <c r="L72" s="1"/>
      <c r="M72" s="1"/>
      <c r="N72" s="1"/>
      <c r="O72" s="1"/>
      <c r="P72" s="333"/>
      <c r="Q72" s="637"/>
      <c r="R72" s="637"/>
      <c r="S72" s="635"/>
      <c r="T72" s="635"/>
      <c r="U72" s="635"/>
      <c r="V72" s="496"/>
      <c r="W72" s="503"/>
      <c r="X72" s="499"/>
    </row>
    <row r="73" spans="1:24" ht="15.75" customHeight="1">
      <c r="A73" s="641"/>
      <c r="B73" s="642"/>
      <c r="C73" s="642"/>
      <c r="D73" s="642"/>
      <c r="E73" s="643"/>
      <c r="F73" s="504"/>
      <c r="G73" s="1"/>
      <c r="H73" s="1"/>
      <c r="I73" s="1"/>
      <c r="J73" s="1"/>
      <c r="K73" s="1"/>
      <c r="L73" s="1"/>
      <c r="M73" s="1"/>
      <c r="N73" s="1"/>
      <c r="O73" s="1"/>
      <c r="P73" s="333"/>
      <c r="Q73" s="632"/>
      <c r="R73" s="633"/>
      <c r="S73" s="633"/>
      <c r="T73" s="633"/>
      <c r="U73" s="633"/>
      <c r="V73" s="633"/>
      <c r="W73" s="634"/>
      <c r="X73" s="509"/>
    </row>
    <row r="74" spans="1:24" ht="15.75" customHeight="1">
      <c r="A74" s="75"/>
      <c r="B74" s="656"/>
      <c r="C74" s="656"/>
      <c r="D74" s="657"/>
      <c r="E74" s="44"/>
      <c r="F74" s="326"/>
      <c r="G74" s="1"/>
      <c r="H74" s="1"/>
      <c r="I74" s="1"/>
      <c r="J74" s="1"/>
      <c r="K74" s="1"/>
      <c r="L74" s="1"/>
      <c r="M74" s="1"/>
      <c r="N74" s="1"/>
      <c r="O74" s="1"/>
      <c r="P74" s="333"/>
      <c r="Q74" s="626"/>
      <c r="R74" s="635"/>
      <c r="S74" s="635"/>
      <c r="T74" s="635"/>
      <c r="U74" s="635"/>
      <c r="V74" s="500"/>
      <c r="W74" s="503"/>
      <c r="X74" s="499"/>
    </row>
    <row r="75" spans="1:24" ht="15.75" customHeight="1">
      <c r="A75" s="75"/>
      <c r="B75" s="576"/>
      <c r="C75" s="576"/>
      <c r="D75" s="576"/>
      <c r="E75" s="44"/>
      <c r="F75" s="326"/>
      <c r="G75" s="1"/>
      <c r="H75" s="1"/>
      <c r="I75" s="1"/>
      <c r="J75" s="1"/>
      <c r="K75" s="1"/>
      <c r="L75" s="1"/>
      <c r="M75" s="1"/>
      <c r="N75" s="1"/>
      <c r="O75" s="1"/>
      <c r="P75" s="333"/>
      <c r="Q75" s="628"/>
      <c r="R75" s="637"/>
      <c r="S75" s="635"/>
      <c r="T75" s="635"/>
      <c r="U75" s="635"/>
      <c r="V75" s="496"/>
      <c r="W75" s="503"/>
      <c r="X75" s="499"/>
    </row>
    <row r="76" spans="1:24" ht="15.75" customHeight="1">
      <c r="A76" s="641"/>
      <c r="B76" s="642"/>
      <c r="C76" s="642"/>
      <c r="D76" s="642"/>
      <c r="E76" s="643"/>
      <c r="F76" s="504"/>
      <c r="G76" s="1"/>
      <c r="H76" s="1"/>
      <c r="I76" s="1"/>
      <c r="J76" s="1"/>
      <c r="K76" s="1"/>
      <c r="L76" s="1"/>
      <c r="M76" s="1"/>
      <c r="N76" s="1"/>
      <c r="O76" s="1"/>
      <c r="P76" s="333"/>
      <c r="Q76" s="632"/>
      <c r="R76" s="633"/>
      <c r="S76" s="633"/>
      <c r="T76" s="633"/>
      <c r="U76" s="633"/>
      <c r="V76" s="633"/>
      <c r="W76" s="634"/>
      <c r="X76" s="509"/>
    </row>
    <row r="77" spans="1:24" ht="15.75" customHeight="1">
      <c r="A77" s="75"/>
      <c r="B77" s="656"/>
      <c r="C77" s="656"/>
      <c r="D77" s="657"/>
      <c r="E77" s="44"/>
      <c r="F77" s="326"/>
      <c r="G77" s="1"/>
      <c r="H77" s="1"/>
      <c r="I77" s="1"/>
      <c r="J77" s="1"/>
      <c r="K77" s="1"/>
      <c r="L77" s="1"/>
      <c r="M77" s="1"/>
      <c r="N77" s="1"/>
      <c r="O77" s="1"/>
      <c r="P77" s="333"/>
      <c r="Q77" s="626"/>
      <c r="R77" s="635"/>
      <c r="S77" s="635"/>
      <c r="T77" s="635"/>
      <c r="U77" s="635"/>
      <c r="V77" s="500"/>
      <c r="W77" s="503"/>
      <c r="X77" s="499"/>
    </row>
    <row r="78" spans="1:24" ht="15.75" customHeight="1">
      <c r="A78" s="75"/>
      <c r="B78" s="615"/>
      <c r="C78" s="615"/>
      <c r="D78" s="615"/>
      <c r="E78" s="44"/>
      <c r="F78" s="326"/>
      <c r="G78" s="1"/>
      <c r="H78" s="1"/>
      <c r="I78" s="1"/>
      <c r="J78" s="1"/>
      <c r="K78" s="1"/>
      <c r="L78" s="1"/>
      <c r="M78" s="1"/>
      <c r="N78" s="1"/>
      <c r="O78" s="1"/>
      <c r="P78" s="333"/>
      <c r="Q78" s="627"/>
      <c r="R78" s="637"/>
      <c r="S78" s="635"/>
      <c r="T78" s="635"/>
      <c r="U78" s="635"/>
      <c r="V78" s="496"/>
      <c r="W78" s="503"/>
      <c r="X78" s="499"/>
    </row>
    <row r="79" spans="1:24" ht="15.75" customHeight="1">
      <c r="A79" s="75"/>
      <c r="B79" s="576"/>
      <c r="C79" s="576"/>
      <c r="D79" s="576"/>
      <c r="E79" s="44"/>
      <c r="F79" s="326"/>
      <c r="G79" s="1"/>
      <c r="H79" s="1"/>
      <c r="I79" s="1"/>
      <c r="J79" s="1"/>
      <c r="K79" s="1"/>
      <c r="L79" s="1"/>
      <c r="M79" s="1"/>
      <c r="N79" s="1"/>
      <c r="O79" s="1"/>
      <c r="P79" s="333"/>
      <c r="Q79" s="628"/>
      <c r="R79" s="637"/>
      <c r="S79" s="635"/>
      <c r="T79" s="635"/>
      <c r="U79" s="635"/>
      <c r="V79" s="496"/>
      <c r="W79" s="503"/>
      <c r="X79" s="499"/>
    </row>
    <row r="80" spans="1:24" ht="15.75" customHeight="1">
      <c r="A80" s="650"/>
      <c r="B80" s="651"/>
      <c r="C80" s="651"/>
      <c r="D80" s="651"/>
      <c r="E80" s="652"/>
      <c r="F80" s="504"/>
      <c r="G80" s="1"/>
      <c r="H80" s="1"/>
      <c r="I80" s="1"/>
      <c r="J80" s="1"/>
      <c r="K80" s="1"/>
      <c r="L80" s="1"/>
      <c r="M80" s="1"/>
      <c r="N80" s="1"/>
      <c r="O80" s="1"/>
      <c r="P80" s="333"/>
      <c r="Q80" s="632"/>
      <c r="R80" s="633"/>
      <c r="S80" s="633"/>
      <c r="T80" s="633"/>
      <c r="U80" s="633"/>
      <c r="V80" s="633"/>
      <c r="W80" s="634"/>
      <c r="X80" s="509"/>
    </row>
    <row r="81" spans="1:24" ht="15.75" customHeight="1">
      <c r="A81" s="75"/>
      <c r="B81" s="615"/>
      <c r="C81" s="615"/>
      <c r="D81" s="615"/>
      <c r="E81" s="44"/>
      <c r="F81" s="326"/>
      <c r="G81" s="1"/>
      <c r="H81" s="1"/>
      <c r="I81" s="1"/>
      <c r="J81" s="1"/>
      <c r="K81" s="1"/>
      <c r="L81" s="1"/>
      <c r="M81" s="1"/>
      <c r="N81" s="1"/>
      <c r="O81" s="1"/>
      <c r="P81" s="333"/>
      <c r="Q81" s="626"/>
      <c r="R81" s="637"/>
      <c r="S81" s="635"/>
      <c r="T81" s="635"/>
      <c r="U81" s="635"/>
      <c r="V81" s="496"/>
      <c r="W81" s="503"/>
      <c r="X81" s="499"/>
    </row>
    <row r="82" spans="1:24" ht="15.75" customHeight="1">
      <c r="A82" s="75"/>
      <c r="B82" s="615"/>
      <c r="C82" s="615"/>
      <c r="D82" s="615"/>
      <c r="E82" s="44"/>
      <c r="F82" s="326"/>
      <c r="G82" s="1"/>
      <c r="H82" s="1"/>
      <c r="I82" s="1"/>
      <c r="J82" s="1"/>
      <c r="K82" s="1"/>
      <c r="L82" s="1"/>
      <c r="M82" s="1"/>
      <c r="N82" s="1"/>
      <c r="O82" s="1"/>
      <c r="P82" s="333"/>
      <c r="Q82" s="627"/>
      <c r="R82" s="637"/>
      <c r="S82" s="635"/>
      <c r="T82" s="635"/>
      <c r="U82" s="635"/>
      <c r="V82" s="496"/>
      <c r="W82" s="503"/>
      <c r="X82" s="499"/>
    </row>
    <row r="83" spans="1:24" ht="15.75" customHeight="1">
      <c r="A83" s="75"/>
      <c r="B83" s="576"/>
      <c r="C83" s="576"/>
      <c r="D83" s="576"/>
      <c r="E83" s="44"/>
      <c r="F83" s="326"/>
      <c r="G83" s="1"/>
      <c r="H83" s="1"/>
      <c r="I83" s="1"/>
      <c r="J83" s="1"/>
      <c r="K83" s="1"/>
      <c r="L83" s="1"/>
      <c r="M83" s="1"/>
      <c r="N83" s="1"/>
      <c r="O83" s="1"/>
      <c r="P83" s="333"/>
      <c r="Q83" s="628"/>
      <c r="R83" s="637"/>
      <c r="S83" s="635"/>
      <c r="T83" s="635"/>
      <c r="U83" s="635"/>
      <c r="V83" s="496"/>
      <c r="W83" s="503"/>
      <c r="X83" s="499"/>
    </row>
    <row r="84" spans="1:24" ht="15.75" customHeight="1">
      <c r="A84" s="641"/>
      <c r="B84" s="642"/>
      <c r="C84" s="642"/>
      <c r="D84" s="642"/>
      <c r="E84" s="643"/>
      <c r="F84" s="504"/>
      <c r="G84" s="1"/>
      <c r="H84" s="1"/>
      <c r="I84" s="1"/>
      <c r="J84" s="1"/>
      <c r="K84" s="1"/>
      <c r="L84" s="1"/>
      <c r="M84" s="1"/>
      <c r="N84" s="1"/>
      <c r="O84" s="1"/>
      <c r="P84" s="333"/>
      <c r="Q84" s="632"/>
      <c r="R84" s="633"/>
      <c r="S84" s="633"/>
      <c r="T84" s="633"/>
      <c r="U84" s="633"/>
      <c r="V84" s="633"/>
      <c r="W84" s="634"/>
      <c r="X84" s="509"/>
    </row>
    <row r="85" spans="1:24" ht="15.75" customHeight="1">
      <c r="A85" s="75"/>
      <c r="B85" s="656"/>
      <c r="C85" s="656"/>
      <c r="D85" s="657"/>
      <c r="E85" s="44"/>
      <c r="F85" s="326"/>
      <c r="G85" s="1"/>
      <c r="H85" s="1"/>
      <c r="I85" s="1"/>
      <c r="J85" s="1"/>
      <c r="K85" s="1"/>
      <c r="L85" s="1"/>
      <c r="M85" s="1"/>
      <c r="N85" s="1"/>
      <c r="O85" s="1"/>
      <c r="P85" s="333"/>
      <c r="Q85" s="626"/>
      <c r="R85" s="635"/>
      <c r="S85" s="635"/>
      <c r="T85" s="635"/>
      <c r="U85" s="635"/>
      <c r="V85" s="500"/>
      <c r="W85" s="503"/>
      <c r="X85" s="499"/>
    </row>
    <row r="86" spans="1:24" ht="15.75" customHeight="1">
      <c r="A86" s="75"/>
      <c r="B86" s="615"/>
      <c r="C86" s="615"/>
      <c r="D86" s="615"/>
      <c r="E86" s="44"/>
      <c r="F86" s="510"/>
      <c r="G86" s="1"/>
      <c r="H86" s="1"/>
      <c r="I86" s="1"/>
      <c r="J86" s="1"/>
      <c r="K86" s="1"/>
      <c r="L86" s="1"/>
      <c r="M86" s="1"/>
      <c r="N86" s="1"/>
      <c r="O86" s="1"/>
      <c r="P86" s="333"/>
      <c r="Q86" s="627"/>
      <c r="R86" s="637"/>
      <c r="S86" s="635"/>
      <c r="T86" s="635"/>
      <c r="U86" s="635"/>
      <c r="V86" s="496"/>
      <c r="W86" s="503"/>
      <c r="X86" s="499"/>
    </row>
    <row r="87" spans="1:24" ht="15.75" customHeight="1">
      <c r="A87" s="75"/>
      <c r="B87" s="576"/>
      <c r="C87" s="576"/>
      <c r="D87" s="576"/>
      <c r="E87" s="44"/>
      <c r="F87" s="326"/>
      <c r="G87" s="1"/>
      <c r="H87" s="1"/>
      <c r="I87" s="1"/>
      <c r="J87" s="1"/>
      <c r="K87" s="1"/>
      <c r="L87" s="1"/>
      <c r="M87" s="1"/>
      <c r="N87" s="1"/>
      <c r="O87" s="1"/>
      <c r="P87" s="333"/>
      <c r="Q87" s="628"/>
      <c r="R87" s="637"/>
      <c r="S87" s="635"/>
      <c r="T87" s="635"/>
      <c r="U87" s="635"/>
      <c r="V87" s="496"/>
      <c r="W87" s="503"/>
      <c r="X87" s="499"/>
    </row>
    <row r="88" spans="1:24" ht="15.75" customHeight="1">
      <c r="A88" s="641"/>
      <c r="B88" s="642"/>
      <c r="C88" s="642"/>
      <c r="D88" s="642"/>
      <c r="E88" s="643"/>
      <c r="F88" s="504"/>
      <c r="G88" s="1"/>
      <c r="H88" s="1"/>
      <c r="I88" s="1"/>
      <c r="J88" s="1"/>
      <c r="K88" s="1"/>
      <c r="L88" s="1"/>
      <c r="M88" s="1"/>
      <c r="N88" s="1"/>
      <c r="O88" s="1"/>
      <c r="P88" s="333"/>
      <c r="Q88" s="632"/>
      <c r="R88" s="633"/>
      <c r="S88" s="633"/>
      <c r="T88" s="633"/>
      <c r="U88" s="633"/>
      <c r="V88" s="633"/>
      <c r="W88" s="634"/>
      <c r="X88" s="509"/>
    </row>
    <row r="89" spans="1:24" ht="15.75" customHeight="1">
      <c r="A89" s="75"/>
      <c r="B89" s="660"/>
      <c r="C89" s="656"/>
      <c r="D89" s="657"/>
      <c r="E89" s="44"/>
      <c r="F89" s="326"/>
      <c r="G89" s="1"/>
      <c r="H89" s="1"/>
      <c r="I89" s="1"/>
      <c r="J89" s="1"/>
      <c r="K89" s="1"/>
      <c r="L89" s="1"/>
      <c r="M89" s="1"/>
      <c r="N89" s="1"/>
      <c r="O89" s="1"/>
      <c r="P89" s="333"/>
      <c r="Q89" s="626"/>
      <c r="R89" s="636"/>
      <c r="S89" s="635"/>
      <c r="T89" s="635"/>
      <c r="U89" s="635"/>
      <c r="V89" s="500"/>
      <c r="W89" s="503"/>
      <c r="X89" s="499"/>
    </row>
    <row r="90" spans="1:24" ht="15.75" customHeight="1">
      <c r="A90" s="75"/>
      <c r="B90" s="615"/>
      <c r="C90" s="615"/>
      <c r="D90" s="615"/>
      <c r="E90" s="44"/>
      <c r="F90" s="326"/>
      <c r="G90" s="1"/>
      <c r="H90" s="1"/>
      <c r="I90" s="1"/>
      <c r="J90" s="1"/>
      <c r="K90" s="1"/>
      <c r="L90" s="1"/>
      <c r="M90" s="1"/>
      <c r="N90" s="1"/>
      <c r="O90" s="1"/>
      <c r="P90" s="333"/>
      <c r="Q90" s="627"/>
      <c r="R90" s="637"/>
      <c r="S90" s="635"/>
      <c r="T90" s="635"/>
      <c r="U90" s="635"/>
      <c r="V90" s="496"/>
      <c r="W90" s="503"/>
      <c r="X90" s="499"/>
    </row>
    <row r="91" spans="1:24" ht="15.75" customHeight="1">
      <c r="A91" s="75"/>
      <c r="B91" s="576"/>
      <c r="C91" s="576"/>
      <c r="D91" s="576"/>
      <c r="E91" s="44"/>
      <c r="F91" s="326"/>
      <c r="G91" s="1"/>
      <c r="H91" s="1"/>
      <c r="I91" s="1"/>
      <c r="J91" s="1"/>
      <c r="K91" s="1"/>
      <c r="L91" s="1"/>
      <c r="M91" s="1"/>
      <c r="N91" s="1"/>
      <c r="O91" s="1"/>
      <c r="P91" s="333"/>
      <c r="Q91" s="628"/>
      <c r="R91" s="637"/>
      <c r="S91" s="635"/>
      <c r="T91" s="635"/>
      <c r="U91" s="635"/>
      <c r="V91" s="496"/>
      <c r="W91" s="503"/>
      <c r="X91" s="499"/>
    </row>
    <row r="92" spans="1:24" ht="15.75" customHeight="1">
      <c r="A92" s="641"/>
      <c r="B92" s="642"/>
      <c r="C92" s="642"/>
      <c r="D92" s="642"/>
      <c r="E92" s="643"/>
      <c r="F92" s="504"/>
      <c r="G92" s="1"/>
      <c r="H92" s="1"/>
      <c r="I92" s="1"/>
      <c r="J92" s="1"/>
      <c r="K92" s="1"/>
      <c r="L92" s="1"/>
      <c r="M92" s="1"/>
      <c r="N92" s="1"/>
      <c r="O92" s="1"/>
      <c r="P92" s="333"/>
      <c r="Q92" s="632"/>
      <c r="R92" s="633"/>
      <c r="S92" s="633"/>
      <c r="T92" s="633"/>
      <c r="U92" s="633"/>
      <c r="V92" s="633"/>
      <c r="W92" s="634"/>
      <c r="X92" s="509"/>
    </row>
    <row r="93" spans="1:24" ht="15.75" customHeight="1">
      <c r="A93" s="75"/>
      <c r="B93" s="660"/>
      <c r="C93" s="656"/>
      <c r="D93" s="657"/>
      <c r="E93" s="44"/>
      <c r="G93" s="1"/>
      <c r="H93" s="1"/>
      <c r="I93" s="1"/>
      <c r="J93" s="1"/>
      <c r="K93" s="1"/>
      <c r="L93" s="1"/>
      <c r="M93" s="1"/>
      <c r="N93" s="1"/>
      <c r="O93" s="1"/>
      <c r="P93" s="333"/>
      <c r="Q93" s="626"/>
      <c r="R93" s="636"/>
      <c r="S93" s="635"/>
      <c r="T93" s="635"/>
      <c r="U93" s="635"/>
      <c r="V93" s="500"/>
      <c r="W93" s="503"/>
      <c r="X93" s="499"/>
    </row>
    <row r="94" spans="1:24" ht="15.75" customHeight="1">
      <c r="A94" s="75"/>
      <c r="B94" s="615"/>
      <c r="C94" s="615"/>
      <c r="D94" s="615"/>
      <c r="E94" s="44"/>
      <c r="F94" s="326"/>
      <c r="G94" s="1"/>
      <c r="H94" s="1"/>
      <c r="I94" s="1"/>
      <c r="J94" s="1"/>
      <c r="K94" s="1"/>
      <c r="L94" s="1"/>
      <c r="M94" s="1"/>
      <c r="N94" s="1"/>
      <c r="O94" s="1"/>
      <c r="P94" s="333"/>
      <c r="Q94" s="627"/>
      <c r="R94" s="637"/>
      <c r="S94" s="635"/>
      <c r="T94" s="635"/>
      <c r="U94" s="635"/>
      <c r="V94" s="496"/>
      <c r="W94" s="503"/>
      <c r="X94" s="499"/>
    </row>
    <row r="95" spans="1:24" ht="15.75" customHeight="1">
      <c r="A95" s="75"/>
      <c r="B95" s="615"/>
      <c r="C95" s="615"/>
      <c r="D95" s="615"/>
      <c r="E95" s="44"/>
      <c r="F95" s="326"/>
      <c r="G95" s="1"/>
      <c r="H95" s="1"/>
      <c r="I95" s="1"/>
      <c r="J95" s="1"/>
      <c r="K95" s="1"/>
      <c r="L95" s="1"/>
      <c r="M95" s="1"/>
      <c r="N95" s="1"/>
      <c r="O95" s="1"/>
      <c r="P95" s="333"/>
      <c r="Q95" s="627"/>
      <c r="R95" s="637"/>
      <c r="S95" s="635"/>
      <c r="T95" s="635"/>
      <c r="U95" s="635"/>
      <c r="V95" s="496"/>
      <c r="W95" s="503"/>
      <c r="X95" s="499"/>
    </row>
    <row r="96" spans="1:24" ht="15.75" customHeight="1">
      <c r="A96" s="75"/>
      <c r="B96" s="576"/>
      <c r="C96" s="576"/>
      <c r="D96" s="576"/>
      <c r="E96" s="44"/>
      <c r="F96" s="326"/>
      <c r="G96" s="1"/>
      <c r="H96" s="1"/>
      <c r="I96" s="1"/>
      <c r="J96" s="1"/>
      <c r="K96" s="1"/>
      <c r="L96" s="1"/>
      <c r="M96" s="1"/>
      <c r="N96" s="1"/>
      <c r="O96" s="1"/>
      <c r="P96" s="333"/>
      <c r="Q96" s="628"/>
      <c r="R96" s="637"/>
      <c r="S96" s="635"/>
      <c r="T96" s="635"/>
      <c r="U96" s="635"/>
      <c r="V96" s="496"/>
      <c r="W96" s="503"/>
      <c r="X96" s="499"/>
    </row>
    <row r="97" spans="1:24" ht="15.75" customHeight="1">
      <c r="A97" s="641"/>
      <c r="B97" s="642"/>
      <c r="C97" s="642"/>
      <c r="D97" s="642"/>
      <c r="E97" s="643"/>
      <c r="F97" s="504"/>
      <c r="G97" s="1"/>
      <c r="H97" s="1"/>
      <c r="I97" s="1"/>
      <c r="J97" s="1"/>
      <c r="K97" s="1"/>
      <c r="L97" s="1"/>
      <c r="M97" s="1"/>
      <c r="N97" s="1"/>
      <c r="O97" s="1"/>
      <c r="P97" s="333"/>
      <c r="Q97" s="632"/>
      <c r="R97" s="633"/>
      <c r="S97" s="633"/>
      <c r="T97" s="633"/>
      <c r="U97" s="633"/>
      <c r="V97" s="633"/>
      <c r="W97" s="634"/>
      <c r="X97" s="509"/>
    </row>
    <row r="98" spans="1:24" ht="15.75" customHeight="1">
      <c r="A98" s="75"/>
      <c r="B98" s="43"/>
      <c r="C98" s="8"/>
      <c r="D98" s="334"/>
      <c r="E98" s="44"/>
      <c r="F98" s="326"/>
      <c r="G98" s="1"/>
      <c r="H98" s="1"/>
      <c r="I98" s="1"/>
      <c r="J98" s="1"/>
      <c r="K98" s="1"/>
      <c r="L98" s="1"/>
      <c r="M98" s="1"/>
      <c r="N98" s="1"/>
      <c r="O98" s="1"/>
      <c r="P98" s="333"/>
      <c r="Q98" s="626"/>
      <c r="R98" s="502"/>
      <c r="S98" s="662"/>
      <c r="T98" s="663"/>
      <c r="U98" s="664"/>
      <c r="V98" s="500"/>
      <c r="W98" s="503"/>
      <c r="X98" s="499"/>
    </row>
    <row r="99" spans="1:24" ht="15.75" customHeight="1">
      <c r="A99" s="75"/>
      <c r="B99" s="43"/>
      <c r="C99" s="8"/>
      <c r="D99" s="334"/>
      <c r="E99" s="44"/>
      <c r="F99" s="326"/>
      <c r="G99" s="1"/>
      <c r="H99" s="335"/>
      <c r="I99" s="1"/>
      <c r="J99" s="1"/>
      <c r="K99" s="1"/>
      <c r="L99" s="1"/>
      <c r="M99" s="1"/>
      <c r="N99" s="1"/>
      <c r="O99" s="1"/>
      <c r="P99" s="333"/>
      <c r="Q99" s="627"/>
      <c r="R99" s="502"/>
      <c r="S99" s="635"/>
      <c r="T99" s="635"/>
      <c r="U99" s="635"/>
      <c r="V99" s="500"/>
      <c r="W99" s="503"/>
      <c r="X99" s="499"/>
    </row>
    <row r="100" spans="1:24" ht="15.75" customHeight="1">
      <c r="A100" s="75"/>
      <c r="B100" s="43"/>
      <c r="C100" s="8"/>
      <c r="D100" s="334"/>
      <c r="E100" s="44"/>
      <c r="F100" s="326"/>
      <c r="G100" s="1"/>
      <c r="H100" s="1"/>
      <c r="I100" s="1"/>
      <c r="J100" s="1"/>
      <c r="K100" s="1"/>
      <c r="L100" s="1"/>
      <c r="M100" s="1"/>
      <c r="N100" s="1"/>
      <c r="O100" s="1"/>
      <c r="P100" s="333"/>
      <c r="Q100" s="627"/>
      <c r="R100" s="502"/>
      <c r="S100" s="635"/>
      <c r="T100" s="635"/>
      <c r="U100" s="635"/>
      <c r="V100" s="500"/>
      <c r="W100" s="503"/>
      <c r="X100" s="499"/>
    </row>
    <row r="101" spans="1:24" ht="15.75" customHeight="1">
      <c r="A101" s="75"/>
      <c r="B101" s="43"/>
      <c r="C101" s="8"/>
      <c r="D101" s="334"/>
      <c r="E101" s="44"/>
      <c r="F101" s="326"/>
      <c r="G101" s="1"/>
      <c r="H101" s="1"/>
      <c r="I101" s="1"/>
      <c r="J101" s="1"/>
      <c r="K101" s="1"/>
      <c r="L101" s="1"/>
      <c r="M101" s="1"/>
      <c r="N101" s="1"/>
      <c r="O101" s="1"/>
      <c r="P101" s="333"/>
      <c r="Q101" s="628"/>
      <c r="R101" s="502"/>
      <c r="S101" s="635"/>
      <c r="T101" s="635"/>
      <c r="U101" s="635"/>
      <c r="V101" s="500"/>
      <c r="W101" s="503"/>
      <c r="X101" s="499"/>
    </row>
    <row r="102" spans="1:24" ht="15.75" customHeight="1">
      <c r="A102" s="641"/>
      <c r="B102" s="642"/>
      <c r="C102" s="642"/>
      <c r="D102" s="642"/>
      <c r="E102" s="643"/>
      <c r="F102" s="504"/>
      <c r="G102" s="1"/>
      <c r="H102" s="1"/>
      <c r="I102" s="1"/>
      <c r="J102" s="1"/>
      <c r="K102" s="1"/>
      <c r="L102" s="1"/>
      <c r="M102" s="1"/>
      <c r="N102" s="1"/>
      <c r="O102" s="1"/>
      <c r="P102" s="333"/>
      <c r="Q102" s="632"/>
      <c r="R102" s="633"/>
      <c r="S102" s="633"/>
      <c r="T102" s="633"/>
      <c r="U102" s="633"/>
      <c r="V102" s="633"/>
      <c r="W102" s="634"/>
      <c r="X102" s="509"/>
    </row>
    <row r="103" spans="1:24" ht="15.75" customHeight="1">
      <c r="A103" s="75"/>
      <c r="B103" s="660"/>
      <c r="C103" s="656"/>
      <c r="D103" s="657"/>
      <c r="E103" s="44"/>
      <c r="F103" s="326"/>
      <c r="G103" s="1"/>
      <c r="H103" s="1"/>
      <c r="I103" s="1"/>
      <c r="J103" s="1"/>
      <c r="K103" s="1"/>
      <c r="L103" s="1"/>
      <c r="M103" s="1"/>
      <c r="N103" s="1"/>
      <c r="O103" s="1"/>
      <c r="P103" s="333"/>
      <c r="Q103" s="626"/>
      <c r="R103" s="636"/>
      <c r="S103" s="635"/>
      <c r="T103" s="635"/>
      <c r="U103" s="635"/>
      <c r="V103" s="500"/>
      <c r="W103" s="503"/>
      <c r="X103" s="499"/>
    </row>
    <row r="104" spans="1:24" ht="15.75" customHeight="1">
      <c r="A104" s="75"/>
      <c r="B104" s="615"/>
      <c r="C104" s="615"/>
      <c r="D104" s="615"/>
      <c r="E104" s="44"/>
      <c r="F104" s="326"/>
      <c r="G104" s="1"/>
      <c r="H104" s="1"/>
      <c r="I104" s="1"/>
      <c r="J104" s="1"/>
      <c r="K104" s="1"/>
      <c r="L104" s="1"/>
      <c r="M104" s="1"/>
      <c r="N104" s="1"/>
      <c r="O104" s="1"/>
      <c r="P104" s="333"/>
      <c r="Q104" s="627"/>
      <c r="R104" s="637"/>
      <c r="S104" s="635"/>
      <c r="T104" s="635"/>
      <c r="U104" s="635"/>
      <c r="V104" s="496"/>
      <c r="W104" s="503"/>
      <c r="X104" s="499"/>
    </row>
    <row r="105" spans="1:24" ht="15.75" customHeight="1">
      <c r="A105" s="75"/>
      <c r="B105" s="576"/>
      <c r="C105" s="576"/>
      <c r="D105" s="576"/>
      <c r="E105" s="44"/>
      <c r="F105" s="326"/>
      <c r="G105" s="1"/>
      <c r="H105" s="1"/>
      <c r="I105" s="1"/>
      <c r="J105" s="1"/>
      <c r="K105" s="1"/>
      <c r="L105" s="1"/>
      <c r="M105" s="1"/>
      <c r="N105" s="1"/>
      <c r="O105" s="1"/>
      <c r="P105" s="333"/>
      <c r="Q105" s="628"/>
      <c r="R105" s="637"/>
      <c r="S105" s="635"/>
      <c r="T105" s="635"/>
      <c r="U105" s="635"/>
      <c r="V105" s="496"/>
      <c r="W105" s="503"/>
      <c r="X105" s="499"/>
    </row>
    <row r="106" spans="1:24" ht="15.75" customHeight="1">
      <c r="A106" s="641"/>
      <c r="B106" s="642"/>
      <c r="C106" s="642"/>
      <c r="D106" s="642"/>
      <c r="E106" s="643"/>
      <c r="F106" s="504"/>
      <c r="G106" s="1"/>
      <c r="H106" s="1"/>
      <c r="I106" s="1"/>
      <c r="J106" s="1"/>
      <c r="K106" s="1"/>
      <c r="L106" s="1"/>
      <c r="M106" s="1"/>
      <c r="N106" s="1"/>
      <c r="O106" s="1"/>
      <c r="P106" s="333"/>
      <c r="Q106" s="632"/>
      <c r="R106" s="633"/>
      <c r="S106" s="633"/>
      <c r="T106" s="633"/>
      <c r="U106" s="633"/>
      <c r="V106" s="633"/>
      <c r="W106" s="634"/>
      <c r="X106" s="509"/>
    </row>
    <row r="107" spans="1:24" ht="15.75" customHeight="1">
      <c r="A107" s="75"/>
      <c r="B107" s="43"/>
      <c r="C107" s="81"/>
      <c r="D107" s="281"/>
      <c r="E107" s="44"/>
      <c r="F107" s="326"/>
      <c r="G107" s="1"/>
      <c r="H107" s="1"/>
      <c r="I107" s="1"/>
      <c r="J107" s="1"/>
      <c r="K107" s="1"/>
      <c r="L107" s="1"/>
      <c r="M107" s="1"/>
      <c r="N107" s="1"/>
      <c r="O107" s="1"/>
      <c r="P107" s="333"/>
      <c r="Q107" s="626"/>
      <c r="R107" s="502"/>
      <c r="S107" s="635"/>
      <c r="T107" s="635"/>
      <c r="U107" s="635"/>
      <c r="V107" s="500"/>
      <c r="W107" s="503"/>
      <c r="X107" s="499"/>
    </row>
    <row r="108" spans="1:24" ht="15.75" customHeight="1">
      <c r="A108" s="75"/>
      <c r="B108" s="43"/>
      <c r="C108" s="81"/>
      <c r="D108" s="281"/>
      <c r="E108" s="44"/>
      <c r="F108" s="326"/>
      <c r="G108" s="1"/>
      <c r="H108" s="1"/>
      <c r="I108" s="1"/>
      <c r="J108" s="1"/>
      <c r="K108" s="1"/>
      <c r="L108" s="1"/>
      <c r="M108" s="1"/>
      <c r="N108" s="1"/>
      <c r="O108" s="1"/>
      <c r="P108" s="333"/>
      <c r="Q108" s="627"/>
      <c r="R108" s="502"/>
      <c r="S108" s="635"/>
      <c r="T108" s="635"/>
      <c r="U108" s="635"/>
      <c r="V108" s="500"/>
      <c r="W108" s="503"/>
      <c r="X108" s="499"/>
    </row>
    <row r="109" spans="1:24" ht="15.75" customHeight="1">
      <c r="A109" s="75"/>
      <c r="B109" s="43"/>
      <c r="C109" s="81"/>
      <c r="D109" s="281"/>
      <c r="E109" s="44"/>
      <c r="F109" s="326"/>
      <c r="G109" s="1"/>
      <c r="H109" s="1"/>
      <c r="I109" s="1"/>
      <c r="J109" s="1"/>
      <c r="K109" s="1"/>
      <c r="L109" s="1"/>
      <c r="M109" s="1"/>
      <c r="N109" s="1"/>
      <c r="O109" s="1"/>
      <c r="P109" s="333"/>
      <c r="Q109" s="628"/>
      <c r="R109" s="502"/>
      <c r="S109" s="635"/>
      <c r="T109" s="635"/>
      <c r="U109" s="635"/>
      <c r="V109" s="500"/>
      <c r="W109" s="503"/>
      <c r="X109" s="499"/>
    </row>
    <row r="110" spans="1:24" ht="15.75" customHeight="1">
      <c r="A110" s="650"/>
      <c r="B110" s="651"/>
      <c r="C110" s="651"/>
      <c r="D110" s="651"/>
      <c r="E110" s="652"/>
      <c r="F110" s="504"/>
      <c r="G110" s="1"/>
      <c r="H110" s="1"/>
      <c r="I110" s="1"/>
      <c r="J110" s="1"/>
      <c r="K110" s="1"/>
      <c r="L110" s="1"/>
      <c r="M110" s="1"/>
      <c r="N110" s="1"/>
      <c r="O110" s="1"/>
      <c r="P110" s="333"/>
      <c r="Q110" s="632"/>
      <c r="R110" s="633"/>
      <c r="S110" s="633"/>
      <c r="T110" s="633"/>
      <c r="U110" s="633"/>
      <c r="V110" s="633"/>
      <c r="W110" s="634"/>
      <c r="X110" s="509"/>
    </row>
    <row r="111" spans="1:24" ht="15.75" customHeight="1">
      <c r="A111" s="75"/>
      <c r="B111" s="660"/>
      <c r="C111" s="658"/>
      <c r="D111" s="659"/>
      <c r="E111" s="44"/>
      <c r="F111" s="326"/>
      <c r="G111" s="1"/>
      <c r="H111" s="1"/>
      <c r="I111" s="1"/>
      <c r="J111" s="1"/>
      <c r="K111" s="1"/>
      <c r="L111" s="1"/>
      <c r="M111" s="1"/>
      <c r="N111" s="1"/>
      <c r="O111" s="1"/>
      <c r="P111" s="333"/>
      <c r="Q111" s="626"/>
      <c r="R111" s="636"/>
      <c r="S111" s="635"/>
      <c r="T111" s="635"/>
      <c r="U111" s="635"/>
      <c r="V111" s="500"/>
      <c r="W111" s="503"/>
      <c r="X111" s="499"/>
    </row>
    <row r="112" spans="1:24" ht="15.75" customHeight="1">
      <c r="A112" s="75"/>
      <c r="B112" s="615"/>
      <c r="C112" s="615"/>
      <c r="D112" s="615"/>
      <c r="E112" s="44"/>
      <c r="F112" s="326"/>
      <c r="G112" s="1"/>
      <c r="H112" s="1"/>
      <c r="I112" s="1"/>
      <c r="J112" s="1"/>
      <c r="K112" s="1"/>
      <c r="L112" s="1"/>
      <c r="M112" s="1"/>
      <c r="N112" s="1"/>
      <c r="O112" s="1"/>
      <c r="P112" s="333"/>
      <c r="Q112" s="627"/>
      <c r="R112" s="637"/>
      <c r="S112" s="635"/>
      <c r="T112" s="635"/>
      <c r="U112" s="635"/>
      <c r="V112" s="496"/>
      <c r="W112" s="503"/>
      <c r="X112" s="499"/>
    </row>
    <row r="113" spans="1:24" ht="15.75" customHeight="1">
      <c r="A113" s="75"/>
      <c r="B113" s="576"/>
      <c r="C113" s="576"/>
      <c r="D113" s="576"/>
      <c r="E113" s="44"/>
      <c r="F113" s="326"/>
      <c r="G113" s="1"/>
      <c r="H113" s="1"/>
      <c r="I113" s="1"/>
      <c r="J113" s="1"/>
      <c r="K113" s="1"/>
      <c r="L113" s="1"/>
      <c r="M113" s="1"/>
      <c r="N113" s="1"/>
      <c r="O113" s="1"/>
      <c r="P113" s="333"/>
      <c r="Q113" s="628"/>
      <c r="R113" s="637"/>
      <c r="S113" s="635"/>
      <c r="T113" s="635"/>
      <c r="U113" s="635"/>
      <c r="V113" s="496"/>
      <c r="W113" s="503"/>
      <c r="X113" s="499"/>
    </row>
    <row r="114" spans="1:24" ht="15.75" customHeight="1">
      <c r="A114" s="641"/>
      <c r="B114" s="642"/>
      <c r="C114" s="642"/>
      <c r="D114" s="642"/>
      <c r="E114" s="643"/>
      <c r="F114" s="504"/>
      <c r="G114" s="1"/>
      <c r="H114" s="1"/>
      <c r="I114" s="1"/>
      <c r="J114" s="1"/>
      <c r="K114" s="1"/>
      <c r="L114" s="1"/>
      <c r="M114" s="1"/>
      <c r="N114" s="1"/>
      <c r="O114" s="1"/>
      <c r="P114" s="333"/>
      <c r="Q114" s="632"/>
      <c r="R114" s="633"/>
      <c r="S114" s="633"/>
      <c r="T114" s="633"/>
      <c r="U114" s="633"/>
      <c r="V114" s="633"/>
      <c r="W114" s="634"/>
      <c r="X114" s="509"/>
    </row>
    <row r="115" spans="1:24" ht="15.75" customHeight="1">
      <c r="A115" s="75"/>
      <c r="B115" s="656"/>
      <c r="C115" s="658"/>
      <c r="D115" s="279"/>
      <c r="E115" s="44"/>
      <c r="F115" s="326"/>
      <c r="G115" s="1"/>
      <c r="H115" s="1"/>
      <c r="I115" s="1"/>
      <c r="J115" s="1"/>
      <c r="K115" s="1"/>
      <c r="L115" s="1"/>
      <c r="M115" s="1"/>
      <c r="N115" s="1"/>
      <c r="O115" s="1"/>
      <c r="P115" s="333"/>
      <c r="Q115" s="626"/>
      <c r="R115" s="635"/>
      <c r="S115" s="635"/>
      <c r="T115" s="635"/>
      <c r="U115" s="635"/>
      <c r="V115" s="497"/>
      <c r="W115" s="503"/>
      <c r="X115" s="499"/>
    </row>
    <row r="116" spans="1:24" ht="15.75" customHeight="1">
      <c r="A116" s="75"/>
      <c r="B116" s="615"/>
      <c r="C116" s="615"/>
      <c r="D116" s="279"/>
      <c r="E116" s="44"/>
      <c r="F116" s="326"/>
      <c r="G116" s="1"/>
      <c r="H116" s="1"/>
      <c r="I116" s="1"/>
      <c r="J116" s="1"/>
      <c r="K116" s="1"/>
      <c r="L116" s="1"/>
      <c r="M116" s="1"/>
      <c r="N116" s="1"/>
      <c r="O116" s="1"/>
      <c r="P116" s="333"/>
      <c r="Q116" s="627"/>
      <c r="R116" s="637"/>
      <c r="S116" s="635"/>
      <c r="T116" s="635"/>
      <c r="U116" s="635"/>
      <c r="V116" s="497"/>
      <c r="W116" s="503"/>
      <c r="X116" s="499"/>
    </row>
    <row r="117" spans="1:24" ht="15.75" customHeight="1">
      <c r="A117" s="75"/>
      <c r="B117" s="576"/>
      <c r="C117" s="576"/>
      <c r="D117" s="279"/>
      <c r="E117" s="44"/>
      <c r="F117" s="326"/>
      <c r="G117" s="1"/>
      <c r="H117" s="1"/>
      <c r="I117" s="1"/>
      <c r="J117" s="1"/>
      <c r="K117" s="1"/>
      <c r="L117" s="1"/>
      <c r="M117" s="1"/>
      <c r="N117" s="1"/>
      <c r="O117" s="1"/>
      <c r="P117" s="333"/>
      <c r="Q117" s="628"/>
      <c r="R117" s="637"/>
      <c r="S117" s="635"/>
      <c r="T117" s="635"/>
      <c r="U117" s="635"/>
      <c r="V117" s="497"/>
      <c r="W117" s="503"/>
      <c r="X117" s="499"/>
    </row>
    <row r="118" spans="1:24" ht="15.75" customHeight="1">
      <c r="A118" s="650"/>
      <c r="B118" s="651"/>
      <c r="C118" s="651"/>
      <c r="D118" s="651"/>
      <c r="E118" s="652"/>
      <c r="F118" s="504"/>
      <c r="G118" s="1"/>
      <c r="H118" s="1"/>
      <c r="I118" s="1"/>
      <c r="J118" s="1"/>
      <c r="K118" s="1"/>
      <c r="L118" s="1"/>
      <c r="M118" s="1"/>
      <c r="N118" s="1"/>
      <c r="O118" s="1"/>
      <c r="P118" s="333"/>
      <c r="Q118" s="632"/>
      <c r="R118" s="633"/>
      <c r="S118" s="633"/>
      <c r="T118" s="633"/>
      <c r="U118" s="633"/>
      <c r="V118" s="633"/>
      <c r="W118" s="634"/>
      <c r="X118" s="509"/>
    </row>
    <row r="119" spans="1:24" ht="15.75" customHeight="1">
      <c r="A119" s="75"/>
      <c r="B119" s="660"/>
      <c r="C119" s="658"/>
      <c r="D119" s="659"/>
      <c r="E119" s="44"/>
      <c r="F119" s="326"/>
      <c r="G119" s="1"/>
      <c r="H119" s="1"/>
      <c r="I119" s="1"/>
      <c r="J119" s="1"/>
      <c r="K119" s="1"/>
      <c r="L119" s="1"/>
      <c r="M119" s="1"/>
      <c r="N119" s="1"/>
      <c r="O119" s="1"/>
      <c r="P119" s="333"/>
      <c r="Q119" s="626"/>
      <c r="R119" s="636"/>
      <c r="S119" s="635"/>
      <c r="T119" s="635"/>
      <c r="U119" s="635"/>
      <c r="V119" s="500"/>
      <c r="W119" s="503"/>
      <c r="X119" s="499"/>
    </row>
    <row r="120" spans="1:24" ht="15.75" customHeight="1">
      <c r="A120" s="75"/>
      <c r="B120" s="615"/>
      <c r="C120" s="615"/>
      <c r="D120" s="615"/>
      <c r="E120" s="44"/>
      <c r="F120" s="326"/>
      <c r="G120" s="1"/>
      <c r="H120" s="1"/>
      <c r="I120" s="1"/>
      <c r="J120" s="1"/>
      <c r="K120" s="1"/>
      <c r="L120" s="1"/>
      <c r="M120" s="1"/>
      <c r="N120" s="1"/>
      <c r="O120" s="1"/>
      <c r="P120" s="333"/>
      <c r="Q120" s="627"/>
      <c r="R120" s="637"/>
      <c r="S120" s="635"/>
      <c r="T120" s="635"/>
      <c r="U120" s="635"/>
      <c r="V120" s="496"/>
      <c r="W120" s="503"/>
      <c r="X120" s="499"/>
    </row>
    <row r="121" spans="1:24" ht="15.75" customHeight="1">
      <c r="A121" s="75"/>
      <c r="B121" s="576"/>
      <c r="C121" s="576"/>
      <c r="D121" s="576"/>
      <c r="E121" s="44"/>
      <c r="F121" s="326"/>
      <c r="G121" s="1"/>
      <c r="H121" s="1"/>
      <c r="I121" s="1"/>
      <c r="J121" s="1"/>
      <c r="K121" s="1"/>
      <c r="L121" s="1"/>
      <c r="M121" s="1"/>
      <c r="N121" s="1"/>
      <c r="O121" s="1"/>
      <c r="P121" s="333"/>
      <c r="Q121" s="628"/>
      <c r="R121" s="637"/>
      <c r="S121" s="635"/>
      <c r="T121" s="635"/>
      <c r="U121" s="635"/>
      <c r="V121" s="496"/>
      <c r="W121" s="503"/>
      <c r="X121" s="499"/>
    </row>
    <row r="122" spans="1:24" ht="15.75" customHeight="1">
      <c r="A122" s="650"/>
      <c r="B122" s="651"/>
      <c r="C122" s="651"/>
      <c r="D122" s="651"/>
      <c r="E122" s="652"/>
      <c r="F122" s="504"/>
      <c r="G122" s="1"/>
      <c r="H122" s="1"/>
      <c r="I122" s="1"/>
      <c r="J122" s="1"/>
      <c r="K122" s="1"/>
      <c r="L122" s="1"/>
      <c r="M122" s="1"/>
      <c r="N122" s="1"/>
      <c r="O122" s="1"/>
      <c r="P122" s="333"/>
      <c r="Q122" s="632"/>
      <c r="R122" s="633"/>
      <c r="S122" s="633"/>
      <c r="T122" s="633"/>
      <c r="U122" s="633"/>
      <c r="V122" s="633"/>
      <c r="W122" s="634"/>
      <c r="X122" s="509"/>
    </row>
    <row r="123" spans="1:24" ht="15.75" customHeight="1">
      <c r="A123" s="75"/>
      <c r="B123" s="660"/>
      <c r="C123" s="658"/>
      <c r="D123" s="659"/>
      <c r="E123" s="44"/>
      <c r="F123" s="326"/>
      <c r="G123" s="1"/>
      <c r="H123" s="1"/>
      <c r="I123" s="1"/>
      <c r="J123" s="1"/>
      <c r="K123" s="1"/>
      <c r="L123" s="1"/>
      <c r="M123" s="1"/>
      <c r="N123" s="1"/>
      <c r="O123" s="1"/>
      <c r="P123" s="333"/>
      <c r="Q123" s="626"/>
      <c r="R123" s="636"/>
      <c r="S123" s="635"/>
      <c r="T123" s="635"/>
      <c r="U123" s="635"/>
      <c r="V123" s="500"/>
      <c r="W123" s="503"/>
      <c r="X123" s="499"/>
    </row>
    <row r="124" spans="1:24" ht="15.75" customHeight="1">
      <c r="A124" s="75"/>
      <c r="B124" s="615"/>
      <c r="C124" s="615"/>
      <c r="D124" s="615"/>
      <c r="E124" s="44"/>
      <c r="F124" s="326"/>
      <c r="G124" s="1"/>
      <c r="H124" s="1"/>
      <c r="I124" s="1"/>
      <c r="J124" s="1"/>
      <c r="K124" s="1"/>
      <c r="L124" s="1"/>
      <c r="M124" s="1"/>
      <c r="N124" s="1"/>
      <c r="O124" s="1"/>
      <c r="P124" s="333"/>
      <c r="Q124" s="627"/>
      <c r="R124" s="637"/>
      <c r="S124" s="635"/>
      <c r="T124" s="635"/>
      <c r="U124" s="635"/>
      <c r="V124" s="496"/>
      <c r="W124" s="503"/>
      <c r="X124" s="499"/>
    </row>
    <row r="125" spans="1:24" ht="15.75" customHeight="1">
      <c r="A125" s="75"/>
      <c r="B125" s="576"/>
      <c r="C125" s="576"/>
      <c r="D125" s="576"/>
      <c r="E125" s="44"/>
      <c r="F125" s="326"/>
      <c r="G125" s="1"/>
      <c r="H125" s="1"/>
      <c r="I125" s="1"/>
      <c r="J125" s="1"/>
      <c r="K125" s="1"/>
      <c r="L125" s="1"/>
      <c r="M125" s="1"/>
      <c r="N125" s="1"/>
      <c r="O125" s="1"/>
      <c r="P125" s="333"/>
      <c r="Q125" s="628"/>
      <c r="R125" s="637"/>
      <c r="S125" s="635"/>
      <c r="T125" s="635"/>
      <c r="U125" s="635"/>
      <c r="V125" s="496"/>
      <c r="W125" s="503"/>
      <c r="X125" s="499"/>
    </row>
    <row r="126" spans="1:24" ht="15.75" customHeight="1">
      <c r="A126" s="650"/>
      <c r="B126" s="651"/>
      <c r="C126" s="651"/>
      <c r="D126" s="651"/>
      <c r="E126" s="652"/>
      <c r="F126" s="504"/>
      <c r="G126" s="1"/>
      <c r="H126" s="1"/>
      <c r="I126" s="1"/>
      <c r="J126" s="1"/>
      <c r="K126" s="1"/>
      <c r="L126" s="1"/>
      <c r="M126" s="1"/>
      <c r="N126" s="1"/>
      <c r="O126" s="1"/>
      <c r="P126" s="333"/>
      <c r="Q126" s="632"/>
      <c r="R126" s="633"/>
      <c r="S126" s="633"/>
      <c r="T126" s="633"/>
      <c r="U126" s="633"/>
      <c r="V126" s="633"/>
      <c r="W126" s="634"/>
      <c r="X126" s="509"/>
    </row>
    <row r="127" spans="1:24" ht="15.75" customHeight="1">
      <c r="A127" s="75"/>
      <c r="B127" s="660"/>
      <c r="C127" s="658"/>
      <c r="D127" s="659"/>
      <c r="E127" s="44"/>
      <c r="F127" s="326"/>
      <c r="G127" s="1"/>
      <c r="H127" s="1"/>
      <c r="I127" s="1"/>
      <c r="J127" s="1"/>
      <c r="K127" s="1"/>
      <c r="L127" s="1"/>
      <c r="M127" s="1"/>
      <c r="N127" s="1"/>
      <c r="O127" s="1"/>
      <c r="P127" s="333"/>
      <c r="Q127" s="626"/>
      <c r="R127" s="636"/>
      <c r="S127" s="635"/>
      <c r="T127" s="635"/>
      <c r="U127" s="635"/>
      <c r="V127" s="500"/>
      <c r="W127" s="503"/>
      <c r="X127" s="499"/>
    </row>
    <row r="128" spans="1:24" ht="15.75" customHeight="1">
      <c r="A128" s="75"/>
      <c r="B128" s="615"/>
      <c r="C128" s="615"/>
      <c r="D128" s="615"/>
      <c r="E128" s="44"/>
      <c r="F128" s="326"/>
      <c r="G128" s="1"/>
      <c r="H128" s="1"/>
      <c r="I128" s="1"/>
      <c r="J128" s="1"/>
      <c r="K128" s="1"/>
      <c r="L128" s="1"/>
      <c r="M128" s="1"/>
      <c r="N128" s="1"/>
      <c r="O128" s="1"/>
      <c r="P128" s="333"/>
      <c r="Q128" s="627"/>
      <c r="R128" s="637"/>
      <c r="S128" s="635"/>
      <c r="T128" s="635"/>
      <c r="U128" s="635"/>
      <c r="V128" s="496"/>
      <c r="W128" s="503"/>
      <c r="X128" s="499"/>
    </row>
    <row r="129" spans="1:24" ht="15.75" customHeight="1">
      <c r="A129" s="75"/>
      <c r="B129" s="576"/>
      <c r="C129" s="576"/>
      <c r="D129" s="576"/>
      <c r="E129" s="44"/>
      <c r="F129" s="326"/>
      <c r="G129" s="1"/>
      <c r="H129" s="1"/>
      <c r="I129" s="1"/>
      <c r="J129" s="1"/>
      <c r="K129" s="1"/>
      <c r="L129" s="1"/>
      <c r="M129" s="1"/>
      <c r="N129" s="1"/>
      <c r="O129" s="1"/>
      <c r="P129" s="333"/>
      <c r="Q129" s="628"/>
      <c r="R129" s="637"/>
      <c r="S129" s="635"/>
      <c r="T129" s="635"/>
      <c r="U129" s="635"/>
      <c r="V129" s="496"/>
      <c r="W129" s="503"/>
      <c r="X129" s="499"/>
    </row>
    <row r="130" spans="1:24" ht="15.75" customHeight="1">
      <c r="A130" s="641"/>
      <c r="B130" s="642"/>
      <c r="C130" s="642"/>
      <c r="D130" s="642"/>
      <c r="E130" s="643"/>
      <c r="F130" s="504"/>
      <c r="G130" s="1"/>
      <c r="H130" s="1"/>
      <c r="I130" s="1"/>
      <c r="J130" s="1"/>
      <c r="K130" s="1"/>
      <c r="L130" s="1"/>
      <c r="M130" s="1"/>
      <c r="N130" s="1"/>
      <c r="O130" s="1"/>
      <c r="P130" s="333"/>
      <c r="Q130" s="632"/>
      <c r="R130" s="633"/>
      <c r="S130" s="633"/>
      <c r="T130" s="633"/>
      <c r="U130" s="633"/>
      <c r="V130" s="633"/>
      <c r="W130" s="634"/>
      <c r="X130" s="509"/>
    </row>
    <row r="131" spans="1:24" ht="15.75" customHeight="1">
      <c r="A131" s="75"/>
      <c r="B131" s="43"/>
      <c r="C131" s="8"/>
      <c r="D131" s="334"/>
      <c r="E131" s="44"/>
      <c r="F131" s="326"/>
      <c r="G131" s="1"/>
      <c r="H131" s="1"/>
      <c r="I131" s="1"/>
      <c r="J131" s="1"/>
      <c r="K131" s="1"/>
      <c r="L131" s="1"/>
      <c r="M131" s="1"/>
      <c r="N131" s="1"/>
      <c r="O131" s="1"/>
      <c r="P131" s="333"/>
      <c r="Q131" s="501"/>
      <c r="R131" s="502"/>
      <c r="S131" s="635"/>
      <c r="T131" s="635"/>
      <c r="U131" s="635"/>
      <c r="V131" s="500"/>
      <c r="W131" s="503"/>
      <c r="X131" s="499"/>
    </row>
    <row r="132" spans="1:24" ht="15.75" customHeight="1">
      <c r="A132" s="1"/>
      <c r="B132" s="1"/>
      <c r="C132" s="1"/>
      <c r="D132" s="1"/>
      <c r="E132" s="1"/>
      <c r="F132" s="1"/>
      <c r="G132" s="1"/>
      <c r="H132" s="1"/>
      <c r="I132" s="1"/>
      <c r="J132" s="1"/>
      <c r="K132" s="1"/>
      <c r="L132" s="1"/>
      <c r="M132" s="1"/>
      <c r="N132" s="1"/>
      <c r="O132" s="1"/>
      <c r="P132" s="333"/>
      <c r="Q132" s="1"/>
      <c r="R132" s="1"/>
      <c r="S132" s="4"/>
      <c r="T132" s="1"/>
      <c r="V132" s="1"/>
    </row>
    <row r="133" spans="1:24" ht="15.75" customHeight="1">
      <c r="A133" s="1"/>
      <c r="B133" s="1"/>
      <c r="C133" s="1"/>
      <c r="G133" s="1"/>
      <c r="H133" s="1"/>
      <c r="I133" s="1"/>
      <c r="J133" s="1"/>
      <c r="K133" s="686" t="s">
        <v>355</v>
      </c>
      <c r="L133" s="519"/>
      <c r="M133" s="336">
        <f>SUMIF(E35:E131,"DIB - tout-venants",F35:F131)</f>
        <v>16.11</v>
      </c>
      <c r="N133" s="1"/>
      <c r="O133" s="1"/>
      <c r="P133" s="333"/>
      <c r="Q133" s="1"/>
      <c r="R133" s="1"/>
      <c r="S133" s="4"/>
      <c r="T133" s="1"/>
      <c r="V133" s="1"/>
    </row>
    <row r="134" spans="1:24" ht="15.75" customHeight="1">
      <c r="A134" s="1"/>
      <c r="B134" s="1"/>
      <c r="C134" s="1"/>
      <c r="G134" s="1"/>
      <c r="H134" s="1"/>
      <c r="I134" s="1"/>
      <c r="J134" s="1"/>
      <c r="K134" s="686" t="s">
        <v>356</v>
      </c>
      <c r="L134" s="519"/>
      <c r="M134" s="336">
        <f>SUMIF(E35:E131,"recyclables",F35:F131)</f>
        <v>0</v>
      </c>
      <c r="N134" s="1"/>
      <c r="O134" s="1"/>
      <c r="P134" s="333"/>
      <c r="Q134" s="1"/>
      <c r="R134" s="1"/>
      <c r="S134" s="4"/>
      <c r="T134" s="1"/>
      <c r="V134" s="1"/>
    </row>
    <row r="135" spans="1:24" ht="15.75" customHeight="1">
      <c r="A135" s="1"/>
      <c r="B135" s="1"/>
      <c r="C135" s="1"/>
      <c r="G135" s="1"/>
      <c r="H135" s="1"/>
      <c r="I135" s="1"/>
      <c r="J135" s="1"/>
      <c r="K135" s="686" t="s">
        <v>357</v>
      </c>
      <c r="L135" s="519"/>
      <c r="M135" s="336">
        <f>SUMIF(E35:E131,"Alimentaires",F35:F131)</f>
        <v>9.9600000000000009</v>
      </c>
      <c r="N135" s="1"/>
      <c r="O135" s="1"/>
      <c r="P135" s="333"/>
      <c r="Q135" s="1"/>
      <c r="R135" s="1"/>
      <c r="S135" s="4"/>
      <c r="T135" s="1"/>
      <c r="V135" s="1"/>
    </row>
    <row r="136" spans="1:24" ht="15.75" customHeight="1">
      <c r="A136" s="1"/>
      <c r="B136" s="1"/>
      <c r="C136" s="1"/>
      <c r="D136" s="1"/>
      <c r="E136" s="1"/>
      <c r="F136" s="1"/>
      <c r="G136" s="1"/>
      <c r="H136" s="1"/>
      <c r="I136" s="1"/>
      <c r="J136" s="1"/>
      <c r="K136" s="1"/>
      <c r="L136" s="1"/>
      <c r="M136" s="1"/>
      <c r="N136" s="1"/>
      <c r="O136" s="1"/>
      <c r="P136" s="333"/>
      <c r="Q136" s="1"/>
      <c r="R136" s="1"/>
      <c r="S136" s="4"/>
      <c r="T136" s="1"/>
      <c r="V136" s="1"/>
      <c r="W136" s="1"/>
      <c r="X136" s="1"/>
    </row>
    <row r="137" spans="1:24" ht="15.75" customHeight="1">
      <c r="A137" s="75"/>
      <c r="B137" s="660"/>
      <c r="C137" s="656"/>
      <c r="D137" s="657"/>
      <c r="E137" s="44"/>
      <c r="F137" s="326"/>
      <c r="G137" s="1"/>
      <c r="H137" s="1"/>
      <c r="I137" s="1"/>
      <c r="J137" s="1"/>
      <c r="K137" s="1"/>
      <c r="L137" s="1"/>
      <c r="M137" s="1"/>
      <c r="N137" s="1"/>
      <c r="O137" s="1"/>
      <c r="P137" s="333"/>
      <c r="Q137" s="1"/>
      <c r="R137" s="1"/>
      <c r="S137" s="4"/>
      <c r="T137" s="1"/>
      <c r="V137" s="1"/>
      <c r="W137" s="1"/>
      <c r="X137" s="1"/>
    </row>
    <row r="138" spans="1:24" ht="15.75" customHeight="1">
      <c r="A138" s="75"/>
      <c r="B138" s="615"/>
      <c r="C138" s="615"/>
      <c r="D138" s="615"/>
      <c r="E138" s="44"/>
      <c r="F138" s="326"/>
      <c r="G138" s="1"/>
      <c r="H138" s="1"/>
      <c r="I138" s="1"/>
      <c r="J138" s="1"/>
      <c r="K138" s="1"/>
      <c r="L138" s="1"/>
      <c r="M138" s="1"/>
      <c r="N138" s="1"/>
      <c r="O138" s="1"/>
      <c r="P138" s="333"/>
      <c r="Q138" s="1"/>
      <c r="R138" s="1"/>
      <c r="S138" s="4"/>
      <c r="T138" s="1"/>
      <c r="V138" s="1"/>
      <c r="W138" s="1"/>
      <c r="X138" s="1"/>
    </row>
    <row r="139" spans="1:24" ht="15.75" customHeight="1">
      <c r="A139" s="75"/>
      <c r="B139" s="576"/>
      <c r="C139" s="576"/>
      <c r="D139" s="576"/>
      <c r="E139" s="44"/>
      <c r="F139" s="326"/>
      <c r="G139" s="1"/>
      <c r="H139" s="1"/>
      <c r="I139" s="1"/>
      <c r="J139" s="1"/>
      <c r="K139" s="1"/>
      <c r="L139" s="1"/>
      <c r="M139" s="1"/>
      <c r="N139" s="1"/>
      <c r="O139" s="1"/>
      <c r="P139" s="333"/>
      <c r="Q139" s="1"/>
      <c r="R139" s="1"/>
      <c r="S139" s="4"/>
      <c r="T139" s="1"/>
      <c r="V139" s="1"/>
      <c r="W139" s="1"/>
      <c r="X139" s="1"/>
    </row>
    <row r="140" spans="1:24" ht="15.75" customHeight="1">
      <c r="A140" s="641"/>
      <c r="B140" s="642"/>
      <c r="C140" s="642"/>
      <c r="D140" s="642"/>
      <c r="E140" s="643"/>
      <c r="F140" s="504"/>
      <c r="G140" s="1"/>
      <c r="H140" s="1"/>
      <c r="I140" s="1"/>
      <c r="J140" s="1"/>
      <c r="K140" s="1"/>
      <c r="L140" s="1"/>
      <c r="M140" s="1"/>
      <c r="N140" s="1"/>
      <c r="O140" s="1"/>
      <c r="P140" s="333"/>
      <c r="Q140" s="1"/>
      <c r="R140" s="1"/>
      <c r="S140" s="4"/>
      <c r="T140" s="1"/>
      <c r="V140" s="1"/>
      <c r="W140" s="1"/>
      <c r="X140" s="1"/>
    </row>
    <row r="141" spans="1:24" ht="15.75" customHeight="1">
      <c r="A141" s="75"/>
      <c r="B141" s="43"/>
      <c r="C141" s="81"/>
      <c r="D141" s="281"/>
      <c r="E141" s="44"/>
      <c r="F141" s="326"/>
      <c r="G141" s="1"/>
      <c r="H141" s="1"/>
      <c r="I141" s="1"/>
      <c r="J141" s="1"/>
      <c r="K141" s="1"/>
      <c r="L141" s="1"/>
      <c r="M141" s="1"/>
      <c r="N141" s="1"/>
      <c r="O141" s="1"/>
      <c r="P141" s="333"/>
      <c r="Q141" s="1"/>
      <c r="R141" s="1"/>
      <c r="S141" s="4"/>
      <c r="T141" s="1"/>
      <c r="V141" s="1"/>
      <c r="W141" s="1"/>
      <c r="X141" s="1"/>
    </row>
    <row r="142" spans="1:24" ht="15.75" customHeight="1">
      <c r="A142" s="75"/>
      <c r="B142" s="660"/>
      <c r="C142" s="656"/>
      <c r="D142" s="657"/>
      <c r="E142" s="44"/>
      <c r="F142" s="326"/>
      <c r="G142" s="1"/>
      <c r="H142" s="1"/>
      <c r="I142" s="1"/>
      <c r="J142" s="1"/>
      <c r="K142" s="1"/>
      <c r="L142" s="1"/>
      <c r="M142" s="1"/>
      <c r="N142" s="1"/>
      <c r="O142" s="1"/>
      <c r="P142" s="333"/>
      <c r="Q142" s="1"/>
      <c r="R142" s="1"/>
      <c r="S142" s="4"/>
      <c r="T142" s="1"/>
      <c r="V142" s="1"/>
      <c r="W142" s="1"/>
      <c r="X142" s="1"/>
    </row>
    <row r="143" spans="1:24" ht="15.75" customHeight="1">
      <c r="A143" s="75"/>
      <c r="B143" s="615"/>
      <c r="C143" s="615"/>
      <c r="D143" s="615"/>
      <c r="E143" s="44"/>
      <c r="F143" s="326"/>
      <c r="G143" s="1"/>
      <c r="H143" s="1"/>
      <c r="I143" s="1"/>
      <c r="J143" s="1"/>
      <c r="K143" s="1"/>
      <c r="L143" s="1"/>
      <c r="M143" s="1"/>
      <c r="N143" s="1"/>
      <c r="O143" s="1"/>
      <c r="P143" s="333"/>
      <c r="Q143" s="1"/>
      <c r="R143" s="1"/>
      <c r="S143" s="4"/>
      <c r="T143" s="1"/>
      <c r="V143" s="1"/>
      <c r="W143" s="1"/>
      <c r="X143" s="1"/>
    </row>
    <row r="144" spans="1:24" ht="15.75" customHeight="1">
      <c r="A144" s="75"/>
      <c r="B144" s="576"/>
      <c r="C144" s="576"/>
      <c r="D144" s="576"/>
      <c r="E144" s="44"/>
      <c r="F144" s="326"/>
      <c r="G144" s="1"/>
      <c r="H144" s="1"/>
      <c r="I144" s="1"/>
      <c r="J144" s="1"/>
      <c r="K144" s="1"/>
      <c r="L144" s="1"/>
      <c r="M144" s="1"/>
      <c r="N144" s="1"/>
      <c r="O144" s="1"/>
      <c r="P144" s="333"/>
      <c r="Q144" s="1"/>
      <c r="R144" s="1"/>
      <c r="S144" s="4"/>
      <c r="T144" s="1"/>
      <c r="V144" s="1"/>
      <c r="W144" s="1"/>
      <c r="X144" s="1"/>
    </row>
    <row r="145" spans="1:24" ht="15.75" customHeight="1">
      <c r="A145" s="650"/>
      <c r="B145" s="651"/>
      <c r="C145" s="651"/>
      <c r="D145" s="651"/>
      <c r="E145" s="652"/>
      <c r="F145" s="504"/>
      <c r="G145" s="1"/>
      <c r="H145" s="1"/>
      <c r="I145" s="1"/>
      <c r="J145" s="1"/>
      <c r="K145" s="1"/>
      <c r="L145" s="1"/>
      <c r="M145" s="1"/>
      <c r="N145" s="1"/>
      <c r="O145" s="1"/>
      <c r="P145" s="333"/>
      <c r="Q145" s="1"/>
      <c r="R145" s="1"/>
      <c r="S145" s="4"/>
      <c r="T145" s="1"/>
      <c r="V145" s="1"/>
      <c r="W145" s="1"/>
      <c r="X145" s="1"/>
    </row>
    <row r="146" spans="1:24" ht="15.75" customHeight="1">
      <c r="A146" s="75"/>
      <c r="B146" s="660"/>
      <c r="C146" s="658"/>
      <c r="D146" s="659"/>
      <c r="E146" s="44"/>
      <c r="F146" s="326"/>
      <c r="G146" s="1"/>
      <c r="H146" s="1"/>
      <c r="I146" s="1"/>
      <c r="J146" s="1"/>
      <c r="K146" s="1"/>
      <c r="L146" s="1"/>
      <c r="M146" s="1"/>
      <c r="N146" s="1"/>
      <c r="O146" s="1"/>
      <c r="P146" s="333"/>
      <c r="Q146" s="1"/>
      <c r="R146" s="1"/>
      <c r="S146" s="4"/>
      <c r="T146" s="1"/>
      <c r="V146" s="1"/>
      <c r="W146" s="1"/>
      <c r="X146" s="1"/>
    </row>
    <row r="147" spans="1:24" ht="15.75" customHeight="1">
      <c r="A147" s="75"/>
      <c r="B147" s="615"/>
      <c r="C147" s="615"/>
      <c r="D147" s="615"/>
      <c r="E147" s="44"/>
      <c r="F147" s="326"/>
      <c r="G147" s="1"/>
      <c r="H147" s="1"/>
      <c r="I147" s="1"/>
      <c r="J147" s="1"/>
      <c r="K147" s="1"/>
      <c r="L147" s="1"/>
      <c r="M147" s="1"/>
      <c r="N147" s="1"/>
      <c r="O147" s="1"/>
      <c r="P147" s="333"/>
      <c r="Q147" s="1"/>
      <c r="R147" s="1"/>
      <c r="S147" s="4"/>
      <c r="T147" s="1"/>
      <c r="V147" s="1"/>
      <c r="W147" s="1"/>
      <c r="X147" s="1"/>
    </row>
    <row r="148" spans="1:24" ht="15.75" customHeight="1">
      <c r="A148" s="75"/>
      <c r="B148" s="576"/>
      <c r="C148" s="576"/>
      <c r="D148" s="576"/>
      <c r="E148" s="44"/>
      <c r="F148" s="326"/>
      <c r="G148" s="1"/>
      <c r="H148" s="1"/>
      <c r="I148" s="1"/>
      <c r="J148" s="1"/>
      <c r="K148" s="1"/>
      <c r="L148" s="1"/>
      <c r="M148" s="1"/>
      <c r="N148" s="1"/>
      <c r="O148" s="1"/>
      <c r="P148" s="333"/>
      <c r="Q148" s="1"/>
      <c r="R148" s="1"/>
      <c r="S148" s="4"/>
      <c r="T148" s="1"/>
      <c r="V148" s="1"/>
      <c r="W148" s="1"/>
      <c r="X148" s="1"/>
    </row>
    <row r="149" spans="1:24" ht="15.75" customHeight="1">
      <c r="A149" s="650"/>
      <c r="B149" s="651"/>
      <c r="C149" s="651"/>
      <c r="D149" s="651"/>
      <c r="E149" s="652"/>
      <c r="F149" s="504"/>
      <c r="G149" s="1"/>
      <c r="H149" s="1"/>
      <c r="I149" s="1"/>
      <c r="J149" s="1"/>
      <c r="K149" s="1"/>
      <c r="L149" s="1"/>
      <c r="M149" s="1"/>
      <c r="N149" s="1"/>
      <c r="O149" s="1"/>
      <c r="P149" s="333"/>
      <c r="Q149" s="1"/>
      <c r="R149" s="1"/>
      <c r="S149" s="4"/>
      <c r="T149" s="1"/>
      <c r="V149" s="1"/>
      <c r="W149" s="1"/>
      <c r="X149" s="1"/>
    </row>
    <row r="150" spans="1:24" ht="15.75" customHeight="1">
      <c r="A150" s="75"/>
      <c r="B150" s="660"/>
      <c r="C150" s="658"/>
      <c r="D150" s="659"/>
      <c r="E150" s="44"/>
      <c r="F150" s="326"/>
      <c r="G150" s="1"/>
      <c r="H150" s="1"/>
      <c r="I150" s="1"/>
      <c r="J150" s="1"/>
      <c r="K150" s="1"/>
      <c r="L150" s="1"/>
      <c r="M150" s="1"/>
      <c r="N150" s="1"/>
      <c r="O150" s="1"/>
      <c r="P150" s="333"/>
      <c r="Q150" s="1"/>
      <c r="R150" s="1"/>
      <c r="S150" s="4"/>
      <c r="T150" s="1"/>
      <c r="V150" s="1"/>
      <c r="W150" s="1"/>
      <c r="X150" s="1"/>
    </row>
    <row r="151" spans="1:24" ht="15.75" customHeight="1">
      <c r="A151" s="75"/>
      <c r="B151" s="615"/>
      <c r="C151" s="615"/>
      <c r="D151" s="615"/>
      <c r="E151" s="44"/>
      <c r="F151" s="326"/>
      <c r="G151" s="1"/>
      <c r="H151" s="1"/>
      <c r="I151" s="1"/>
      <c r="J151" s="1"/>
      <c r="K151" s="1"/>
      <c r="L151" s="1"/>
      <c r="M151" s="1"/>
      <c r="N151" s="1"/>
      <c r="O151" s="1"/>
      <c r="P151" s="333"/>
      <c r="Q151" s="1"/>
      <c r="R151" s="1"/>
      <c r="S151" s="4"/>
      <c r="T151" s="1"/>
      <c r="V151" s="1"/>
      <c r="W151" s="1"/>
      <c r="X151" s="1"/>
    </row>
    <row r="152" spans="1:24" ht="15.75" customHeight="1">
      <c r="A152" s="75"/>
      <c r="B152" s="576"/>
      <c r="C152" s="576"/>
      <c r="D152" s="576"/>
      <c r="E152" s="44"/>
      <c r="F152" s="326"/>
      <c r="G152" s="1"/>
      <c r="H152" s="1"/>
      <c r="I152" s="1"/>
      <c r="J152" s="1"/>
      <c r="K152" s="1"/>
      <c r="L152" s="1"/>
      <c r="M152" s="1"/>
      <c r="N152" s="1"/>
      <c r="O152" s="1"/>
      <c r="P152" s="333"/>
      <c r="Q152" s="1"/>
      <c r="R152" s="1"/>
      <c r="S152" s="4"/>
      <c r="T152" s="1"/>
      <c r="V152" s="1"/>
      <c r="W152" s="1"/>
      <c r="X152" s="1"/>
    </row>
    <row r="153" spans="1:24" ht="15.75" customHeight="1">
      <c r="A153" s="641"/>
      <c r="B153" s="642"/>
      <c r="C153" s="642"/>
      <c r="D153" s="642"/>
      <c r="E153" s="643"/>
      <c r="F153" s="504"/>
      <c r="G153" s="1"/>
      <c r="H153" s="1"/>
      <c r="I153" s="1"/>
      <c r="J153" s="1"/>
      <c r="K153" s="1"/>
      <c r="L153" s="1"/>
      <c r="M153" s="1"/>
      <c r="N153" s="1"/>
      <c r="O153" s="1"/>
      <c r="P153" s="333"/>
      <c r="Q153" s="1"/>
      <c r="R153" s="1"/>
      <c r="S153" s="4"/>
      <c r="T153" s="1"/>
      <c r="V153" s="1"/>
      <c r="W153" s="1"/>
      <c r="X153" s="1"/>
    </row>
    <row r="154" spans="1:24" ht="15.75" customHeight="1">
      <c r="A154" s="75"/>
      <c r="B154" s="43"/>
      <c r="C154" s="81"/>
      <c r="D154" s="281"/>
      <c r="E154" s="44"/>
      <c r="F154" s="326"/>
      <c r="G154" s="1"/>
      <c r="H154" s="1"/>
      <c r="I154" s="1"/>
      <c r="J154" s="1"/>
      <c r="K154" s="1"/>
      <c r="L154" s="1"/>
      <c r="M154" s="1"/>
      <c r="N154" s="1"/>
      <c r="O154" s="1"/>
      <c r="P154" s="333"/>
      <c r="Q154" s="1"/>
      <c r="R154" s="1"/>
      <c r="S154" s="4"/>
      <c r="T154" s="1"/>
      <c r="V154" s="1"/>
      <c r="W154" s="1"/>
      <c r="X154" s="1"/>
    </row>
    <row r="155" spans="1:24" ht="15.75" customHeight="1">
      <c r="A155" s="75"/>
      <c r="B155" s="660"/>
      <c r="C155" s="658"/>
      <c r="D155" s="659"/>
      <c r="E155" s="44"/>
      <c r="F155" s="326"/>
      <c r="G155" s="1"/>
      <c r="H155" s="1"/>
      <c r="I155" s="1"/>
      <c r="J155" s="1"/>
      <c r="K155" s="1"/>
      <c r="L155" s="1"/>
      <c r="M155" s="1"/>
      <c r="N155" s="1"/>
      <c r="O155" s="1"/>
      <c r="P155" s="333"/>
      <c r="Q155" s="1"/>
      <c r="R155" s="1"/>
      <c r="S155" s="4"/>
      <c r="T155" s="1"/>
      <c r="V155" s="1"/>
      <c r="W155" s="1"/>
      <c r="X155" s="1"/>
    </row>
    <row r="156" spans="1:24" ht="15.75" customHeight="1">
      <c r="A156" s="75"/>
      <c r="B156" s="615"/>
      <c r="C156" s="615"/>
      <c r="D156" s="615"/>
      <c r="E156" s="44"/>
      <c r="F156" s="326"/>
      <c r="G156" s="1"/>
      <c r="H156" s="1"/>
      <c r="I156" s="1"/>
      <c r="J156" s="1"/>
      <c r="K156" s="1"/>
      <c r="L156" s="1"/>
      <c r="M156" s="1"/>
      <c r="N156" s="1"/>
      <c r="O156" s="1"/>
      <c r="P156" s="333"/>
      <c r="Q156" s="1"/>
      <c r="R156" s="1"/>
      <c r="S156" s="4"/>
      <c r="T156" s="1"/>
      <c r="V156" s="1"/>
      <c r="W156" s="1"/>
      <c r="X156" s="1"/>
    </row>
    <row r="157" spans="1:24" ht="15.75" customHeight="1">
      <c r="A157" s="75"/>
      <c r="B157" s="576"/>
      <c r="C157" s="576"/>
      <c r="D157" s="576"/>
      <c r="E157" s="44"/>
      <c r="F157" s="326"/>
      <c r="G157" s="1"/>
      <c r="H157" s="1"/>
      <c r="I157" s="1"/>
      <c r="J157" s="1"/>
      <c r="K157" s="1"/>
      <c r="L157" s="1"/>
      <c r="M157" s="1"/>
      <c r="N157" s="1"/>
      <c r="O157" s="1"/>
      <c r="P157" s="333"/>
      <c r="Q157" s="1"/>
      <c r="R157" s="1"/>
      <c r="S157" s="4"/>
      <c r="T157" s="1"/>
      <c r="V157" s="1"/>
      <c r="W157" s="1"/>
      <c r="X157" s="1"/>
    </row>
    <row r="158" spans="1:24" ht="15.75" customHeight="1">
      <c r="A158" s="650"/>
      <c r="B158" s="651"/>
      <c r="C158" s="651"/>
      <c r="D158" s="651"/>
      <c r="E158" s="652"/>
      <c r="F158" s="504"/>
      <c r="G158" s="1"/>
      <c r="H158" s="1"/>
      <c r="I158" s="1"/>
      <c r="J158" s="1"/>
      <c r="K158" s="1"/>
      <c r="L158" s="1"/>
      <c r="M158" s="1"/>
      <c r="N158" s="1"/>
      <c r="O158" s="1"/>
      <c r="P158" s="333"/>
      <c r="Q158" s="1"/>
      <c r="R158" s="1"/>
      <c r="S158" s="4"/>
      <c r="T158" s="1"/>
      <c r="V158" s="1"/>
      <c r="W158" s="1"/>
      <c r="X158" s="1"/>
    </row>
    <row r="159" spans="1:24" ht="15.75" customHeight="1">
      <c r="A159" s="75"/>
      <c r="B159" s="660"/>
      <c r="C159" s="658"/>
      <c r="D159" s="659"/>
      <c r="E159" s="44"/>
      <c r="F159" s="326"/>
      <c r="G159" s="1"/>
      <c r="H159" s="1"/>
      <c r="I159" s="1"/>
      <c r="J159" s="1"/>
      <c r="K159" s="1"/>
      <c r="L159" s="1"/>
      <c r="M159" s="1"/>
      <c r="N159" s="1"/>
      <c r="O159" s="1"/>
      <c r="P159" s="333"/>
      <c r="Q159" s="1"/>
      <c r="R159" s="1"/>
      <c r="S159" s="4"/>
      <c r="T159" s="1"/>
      <c r="V159" s="1"/>
      <c r="W159" s="1"/>
      <c r="X159" s="1"/>
    </row>
    <row r="160" spans="1:24" ht="15.75" customHeight="1">
      <c r="A160" s="75"/>
      <c r="B160" s="615"/>
      <c r="C160" s="615"/>
      <c r="D160" s="615"/>
      <c r="E160" s="44"/>
      <c r="F160" s="326"/>
      <c r="G160" s="1"/>
      <c r="H160" s="1"/>
      <c r="I160" s="1"/>
      <c r="J160" s="1"/>
      <c r="K160" s="1"/>
      <c r="L160" s="1"/>
      <c r="M160" s="1"/>
      <c r="N160" s="1"/>
      <c r="O160" s="1"/>
      <c r="P160" s="333"/>
      <c r="Q160" s="1"/>
      <c r="R160" s="1"/>
      <c r="S160" s="4"/>
      <c r="T160" s="1"/>
      <c r="V160" s="1"/>
      <c r="W160" s="1"/>
      <c r="X160" s="1"/>
    </row>
    <row r="161" spans="1:24" ht="15.75" customHeight="1">
      <c r="A161" s="75"/>
      <c r="B161" s="576"/>
      <c r="C161" s="576"/>
      <c r="D161" s="576"/>
      <c r="E161" s="44"/>
      <c r="F161" s="326"/>
      <c r="G161" s="1"/>
      <c r="H161" s="1"/>
      <c r="I161" s="1"/>
      <c r="J161" s="1"/>
      <c r="K161" s="1"/>
      <c r="L161" s="1"/>
      <c r="M161" s="1"/>
      <c r="N161" s="1"/>
      <c r="O161" s="1"/>
      <c r="P161" s="333"/>
      <c r="Q161" s="1"/>
      <c r="R161" s="1"/>
      <c r="S161" s="4"/>
      <c r="T161" s="1"/>
      <c r="V161" s="1"/>
      <c r="W161" s="1"/>
      <c r="X161" s="1"/>
    </row>
    <row r="162" spans="1:24" ht="15.75" customHeight="1">
      <c r="A162" s="641"/>
      <c r="B162" s="642"/>
      <c r="C162" s="642"/>
      <c r="D162" s="642"/>
      <c r="E162" s="643"/>
      <c r="F162" s="504"/>
      <c r="G162" s="1"/>
      <c r="H162" s="1"/>
      <c r="I162" s="1"/>
      <c r="J162" s="1"/>
      <c r="K162" s="1"/>
      <c r="L162" s="1"/>
      <c r="M162" s="1"/>
      <c r="N162" s="1"/>
      <c r="O162" s="1"/>
      <c r="P162" s="333"/>
      <c r="Q162" s="1"/>
      <c r="R162" s="1"/>
      <c r="S162" s="4"/>
      <c r="T162" s="1"/>
      <c r="V162" s="1"/>
      <c r="W162" s="1"/>
      <c r="X162" s="1"/>
    </row>
    <row r="163" spans="1:24" ht="15.75" customHeight="1">
      <c r="A163" s="75"/>
      <c r="B163" s="43"/>
      <c r="C163" s="81"/>
      <c r="D163" s="281"/>
      <c r="E163" s="44"/>
      <c r="F163" s="326"/>
      <c r="G163" s="1"/>
      <c r="H163" s="1"/>
      <c r="I163" s="1"/>
      <c r="J163" s="1"/>
      <c r="K163" s="1"/>
      <c r="L163" s="1"/>
      <c r="M163" s="1"/>
      <c r="N163" s="1"/>
      <c r="O163" s="1"/>
      <c r="P163" s="333"/>
      <c r="Q163" s="1"/>
      <c r="R163" s="1"/>
      <c r="S163" s="4"/>
      <c r="T163" s="1"/>
      <c r="V163" s="1"/>
      <c r="W163" s="1"/>
      <c r="X163" s="1"/>
    </row>
    <row r="164" spans="1:24" ht="15.75" customHeight="1">
      <c r="A164" s="75"/>
      <c r="B164" s="660"/>
      <c r="C164" s="658"/>
      <c r="D164" s="659"/>
      <c r="E164" s="44"/>
      <c r="F164" s="326"/>
      <c r="G164" s="1"/>
      <c r="H164" s="1"/>
      <c r="I164" s="1"/>
      <c r="J164" s="1"/>
      <c r="K164" s="1"/>
      <c r="L164" s="1"/>
      <c r="M164" s="1"/>
      <c r="N164" s="1"/>
      <c r="O164" s="1"/>
      <c r="P164" s="333"/>
      <c r="Q164" s="1"/>
      <c r="R164" s="1"/>
      <c r="S164" s="4"/>
      <c r="T164" s="1"/>
      <c r="V164" s="1"/>
      <c r="W164" s="1"/>
      <c r="X164" s="1"/>
    </row>
    <row r="165" spans="1:24" ht="15.75" customHeight="1">
      <c r="A165" s="75"/>
      <c r="B165" s="615"/>
      <c r="C165" s="615"/>
      <c r="D165" s="615"/>
      <c r="E165" s="44"/>
      <c r="F165" s="326"/>
      <c r="G165" s="1"/>
      <c r="H165" s="1"/>
      <c r="I165" s="1"/>
      <c r="J165" s="1"/>
      <c r="K165" s="1"/>
      <c r="L165" s="1"/>
      <c r="M165" s="1"/>
      <c r="N165" s="1"/>
      <c r="O165" s="1"/>
      <c r="P165" s="333"/>
      <c r="Q165" s="1"/>
      <c r="R165" s="1"/>
      <c r="S165" s="4"/>
      <c r="T165" s="1"/>
      <c r="V165" s="1"/>
      <c r="W165" s="1"/>
      <c r="X165" s="1"/>
    </row>
    <row r="166" spans="1:24" ht="15.75" customHeight="1">
      <c r="A166" s="75"/>
      <c r="B166" s="576"/>
      <c r="C166" s="576"/>
      <c r="D166" s="576"/>
      <c r="E166" s="44"/>
      <c r="F166" s="326"/>
      <c r="G166" s="1"/>
      <c r="H166" s="1"/>
      <c r="I166" s="1"/>
      <c r="J166" s="1"/>
      <c r="K166" s="1"/>
      <c r="L166" s="1"/>
      <c r="M166" s="1"/>
      <c r="N166" s="1"/>
      <c r="O166" s="1"/>
      <c r="P166" s="333"/>
      <c r="Q166" s="1"/>
      <c r="R166" s="1"/>
      <c r="S166" s="4"/>
      <c r="T166" s="1"/>
      <c r="V166" s="1"/>
      <c r="W166" s="1"/>
      <c r="X166" s="1"/>
    </row>
    <row r="167" spans="1:24" ht="15.75" customHeight="1">
      <c r="A167" s="650"/>
      <c r="B167" s="651"/>
      <c r="C167" s="651"/>
      <c r="D167" s="651"/>
      <c r="E167" s="652"/>
      <c r="F167" s="504"/>
      <c r="G167" s="1"/>
      <c r="H167" s="1"/>
      <c r="I167" s="1"/>
      <c r="J167" s="1"/>
      <c r="K167" s="1"/>
      <c r="L167" s="1"/>
      <c r="M167" s="1"/>
      <c r="N167" s="1"/>
      <c r="O167" s="1"/>
      <c r="P167" s="333"/>
      <c r="Q167" s="1"/>
      <c r="R167" s="1"/>
      <c r="S167" s="4"/>
      <c r="T167" s="1"/>
      <c r="V167" s="1"/>
      <c r="W167" s="1"/>
      <c r="X167" s="1"/>
    </row>
    <row r="168" spans="1:24" ht="15.75" customHeight="1">
      <c r="A168" s="75"/>
      <c r="B168" s="660"/>
      <c r="C168" s="656"/>
      <c r="D168" s="659"/>
      <c r="E168" s="44"/>
      <c r="F168" s="326"/>
      <c r="G168" s="1"/>
      <c r="H168" s="1"/>
      <c r="I168" s="1"/>
      <c r="J168" s="1"/>
      <c r="K168" s="1"/>
      <c r="L168" s="1"/>
      <c r="M168" s="1"/>
      <c r="N168" s="1"/>
      <c r="O168" s="1"/>
      <c r="P168" s="333"/>
      <c r="Q168" s="1"/>
      <c r="R168" s="1"/>
      <c r="S168" s="4"/>
      <c r="T168" s="1"/>
      <c r="V168" s="1"/>
      <c r="W168" s="1"/>
      <c r="X168" s="1"/>
    </row>
    <row r="169" spans="1:24" ht="15.75" customHeight="1">
      <c r="A169" s="75"/>
      <c r="B169" s="615"/>
      <c r="C169" s="576"/>
      <c r="D169" s="615"/>
      <c r="E169" s="44"/>
      <c r="F169" s="326"/>
      <c r="G169" s="1"/>
      <c r="H169" s="1"/>
      <c r="I169" s="1"/>
      <c r="J169" s="1"/>
      <c r="K169" s="1"/>
      <c r="L169" s="1"/>
      <c r="M169" s="1"/>
      <c r="N169" s="1"/>
      <c r="O169" s="1"/>
      <c r="P169" s="333"/>
      <c r="Q169" s="1"/>
      <c r="R169" s="1"/>
      <c r="S169" s="4"/>
      <c r="T169" s="1"/>
      <c r="V169" s="1"/>
      <c r="W169" s="1"/>
      <c r="X169" s="1"/>
    </row>
    <row r="170" spans="1:24" ht="15.75" customHeight="1">
      <c r="A170" s="75"/>
      <c r="B170" s="576"/>
      <c r="C170" s="8"/>
      <c r="D170" s="576"/>
      <c r="E170" s="44"/>
      <c r="F170" s="326"/>
      <c r="G170" s="1"/>
      <c r="H170" s="1"/>
      <c r="I170" s="1"/>
      <c r="J170" s="1"/>
      <c r="K170" s="1"/>
      <c r="L170" s="1"/>
      <c r="M170" s="1"/>
      <c r="N170" s="1"/>
      <c r="O170" s="1"/>
      <c r="P170" s="333"/>
      <c r="Q170" s="1"/>
      <c r="R170" s="1"/>
      <c r="S170" s="4"/>
      <c r="T170" s="1"/>
      <c r="V170" s="1"/>
      <c r="W170" s="1"/>
      <c r="X170" s="1"/>
    </row>
    <row r="171" spans="1:24" ht="15.75" customHeight="1">
      <c r="A171" s="650"/>
      <c r="B171" s="651"/>
      <c r="C171" s="651"/>
      <c r="D171" s="651"/>
      <c r="E171" s="652"/>
      <c r="F171" s="504"/>
      <c r="G171" s="1"/>
      <c r="H171" s="1"/>
      <c r="I171" s="1"/>
      <c r="J171" s="1"/>
      <c r="K171" s="1"/>
      <c r="L171" s="1"/>
      <c r="M171" s="1"/>
      <c r="N171" s="1"/>
      <c r="O171" s="1"/>
      <c r="P171" s="333"/>
      <c r="Q171" s="1"/>
      <c r="R171" s="1"/>
      <c r="S171" s="4"/>
      <c r="T171" s="1"/>
      <c r="V171" s="1"/>
      <c r="W171" s="1"/>
      <c r="X171" s="1"/>
    </row>
    <row r="172" spans="1:24" ht="15.75" customHeight="1">
      <c r="A172" s="75"/>
      <c r="B172" s="660"/>
      <c r="C172" s="658"/>
      <c r="D172" s="659"/>
      <c r="E172" s="44"/>
      <c r="F172" s="326"/>
      <c r="G172" s="1"/>
      <c r="H172" s="1"/>
      <c r="I172" s="1"/>
      <c r="J172" s="1"/>
      <c r="K172" s="1"/>
      <c r="L172" s="1"/>
      <c r="M172" s="1"/>
      <c r="N172" s="1"/>
      <c r="O172" s="1"/>
      <c r="P172" s="333"/>
      <c r="Q172" s="1"/>
      <c r="R172" s="1"/>
      <c r="S172" s="4"/>
      <c r="T172" s="1"/>
      <c r="V172" s="1"/>
      <c r="W172" s="1"/>
      <c r="X172" s="1"/>
    </row>
    <row r="173" spans="1:24" ht="15.75" customHeight="1">
      <c r="A173" s="75"/>
      <c r="B173" s="615"/>
      <c r="C173" s="615"/>
      <c r="D173" s="615"/>
      <c r="E173" s="44"/>
      <c r="F173" s="326"/>
      <c r="G173" s="1"/>
      <c r="H173" s="1"/>
      <c r="I173" s="1"/>
      <c r="J173" s="1"/>
      <c r="K173" s="1"/>
      <c r="L173" s="1"/>
      <c r="M173" s="1"/>
      <c r="N173" s="1"/>
      <c r="O173" s="1"/>
      <c r="P173" s="333"/>
      <c r="Q173" s="1"/>
      <c r="R173" s="1"/>
      <c r="S173" s="4"/>
      <c r="T173" s="1"/>
      <c r="V173" s="1"/>
      <c r="W173" s="1"/>
      <c r="X173" s="1"/>
    </row>
    <row r="174" spans="1:24" ht="15.75" customHeight="1">
      <c r="A174" s="75"/>
      <c r="B174" s="576"/>
      <c r="C174" s="576"/>
      <c r="D174" s="576"/>
      <c r="E174" s="44"/>
      <c r="F174" s="326"/>
      <c r="G174" s="1"/>
      <c r="H174" s="1"/>
      <c r="I174" s="1"/>
      <c r="J174" s="1"/>
      <c r="K174" s="1"/>
      <c r="L174" s="1"/>
      <c r="M174" s="1"/>
      <c r="N174" s="1"/>
      <c r="O174" s="1"/>
      <c r="P174" s="333"/>
      <c r="Q174" s="1"/>
      <c r="R174" s="1"/>
      <c r="S174" s="4"/>
      <c r="T174" s="1"/>
      <c r="V174" s="1"/>
      <c r="W174" s="1"/>
      <c r="X174" s="1"/>
    </row>
    <row r="175" spans="1:24" ht="15.75" customHeight="1">
      <c r="A175" s="650"/>
      <c r="B175" s="651"/>
      <c r="C175" s="651"/>
      <c r="D175" s="651"/>
      <c r="E175" s="652"/>
      <c r="F175" s="504"/>
      <c r="G175" s="1"/>
      <c r="H175" s="1"/>
      <c r="I175" s="1"/>
      <c r="J175" s="1"/>
      <c r="K175" s="1"/>
      <c r="L175" s="1"/>
      <c r="M175" s="1"/>
      <c r="N175" s="1"/>
      <c r="O175" s="1"/>
      <c r="P175" s="333"/>
      <c r="Q175" s="1"/>
      <c r="R175" s="1"/>
      <c r="S175" s="4"/>
      <c r="T175" s="1"/>
      <c r="V175" s="1"/>
      <c r="W175" s="1"/>
      <c r="X175" s="1"/>
    </row>
    <row r="176" spans="1:24" ht="15.75" customHeight="1">
      <c r="A176" s="75"/>
      <c r="B176" s="660"/>
      <c r="C176" s="658"/>
      <c r="D176" s="659"/>
      <c r="E176" s="44"/>
      <c r="F176" s="326"/>
      <c r="G176" s="1"/>
      <c r="H176" s="1"/>
      <c r="I176" s="1"/>
      <c r="J176" s="1"/>
      <c r="K176" s="1"/>
      <c r="L176" s="1"/>
      <c r="M176" s="1"/>
      <c r="N176" s="1"/>
      <c r="O176" s="1"/>
      <c r="P176" s="333"/>
      <c r="Q176" s="1"/>
      <c r="R176" s="1"/>
      <c r="S176" s="4"/>
      <c r="T176" s="1"/>
      <c r="V176" s="1"/>
      <c r="W176" s="1"/>
      <c r="X176" s="1"/>
    </row>
    <row r="177" spans="1:24" ht="15.75" customHeight="1">
      <c r="A177" s="75"/>
      <c r="B177" s="615"/>
      <c r="C177" s="615"/>
      <c r="D177" s="615"/>
      <c r="E177" s="44"/>
      <c r="F177" s="326"/>
      <c r="G177" s="1"/>
      <c r="H177" s="1"/>
      <c r="I177" s="1"/>
      <c r="J177" s="1"/>
      <c r="K177" s="1"/>
      <c r="L177" s="1"/>
      <c r="M177" s="1"/>
      <c r="N177" s="1"/>
      <c r="O177" s="1"/>
      <c r="P177" s="333"/>
      <c r="Q177" s="1"/>
      <c r="R177" s="1"/>
      <c r="S177" s="4"/>
      <c r="T177" s="1"/>
      <c r="V177" s="1"/>
      <c r="W177" s="1"/>
      <c r="X177" s="1"/>
    </row>
    <row r="178" spans="1:24" ht="15.75" customHeight="1">
      <c r="A178" s="75"/>
      <c r="B178" s="576"/>
      <c r="C178" s="576"/>
      <c r="D178" s="576"/>
      <c r="E178" s="44"/>
      <c r="F178" s="326"/>
      <c r="G178" s="1"/>
      <c r="H178" s="1"/>
      <c r="I178" s="1"/>
      <c r="J178" s="1"/>
      <c r="K178" s="1"/>
      <c r="L178" s="1"/>
      <c r="M178" s="1"/>
      <c r="N178" s="1"/>
      <c r="O178" s="1"/>
      <c r="P178" s="333"/>
      <c r="Q178" s="1"/>
      <c r="R178" s="1"/>
      <c r="S178" s="4"/>
      <c r="T178" s="1"/>
      <c r="U178" s="1"/>
    </row>
    <row r="179" spans="1:24" ht="15.75" customHeight="1">
      <c r="A179" s="641"/>
      <c r="B179" s="642"/>
      <c r="C179" s="642"/>
      <c r="D179" s="642"/>
      <c r="E179" s="643"/>
      <c r="F179" s="504"/>
      <c r="G179" s="1"/>
      <c r="H179" s="1"/>
      <c r="I179" s="1"/>
      <c r="J179" s="1"/>
      <c r="K179" s="1"/>
      <c r="L179" s="1"/>
      <c r="M179" s="1"/>
      <c r="N179" s="1"/>
      <c r="O179" s="1"/>
      <c r="P179" s="333"/>
      <c r="Q179" s="1"/>
      <c r="R179" s="1"/>
      <c r="S179" s="4"/>
      <c r="T179" s="1"/>
      <c r="U179" s="1"/>
    </row>
    <row r="180" spans="1:24" ht="15.75" customHeight="1">
      <c r="A180" s="75"/>
      <c r="B180" s="43"/>
      <c r="C180" s="8"/>
      <c r="D180" s="334"/>
      <c r="E180" s="44"/>
      <c r="F180" s="326"/>
      <c r="G180" s="1"/>
      <c r="H180" s="1"/>
      <c r="I180" s="1"/>
      <c r="J180" s="1"/>
      <c r="K180" s="1"/>
      <c r="L180" s="1"/>
      <c r="M180" s="1"/>
      <c r="N180" s="1"/>
      <c r="O180" s="1"/>
      <c r="P180" s="333"/>
      <c r="Q180" s="1"/>
      <c r="R180" s="1"/>
      <c r="S180" s="4"/>
      <c r="T180" s="1"/>
      <c r="U180" s="1"/>
    </row>
    <row r="181" spans="1:24" ht="15.75" customHeight="1">
      <c r="A181" s="75"/>
      <c r="B181" s="660"/>
      <c r="C181" s="656"/>
      <c r="D181" s="657"/>
      <c r="E181" s="44"/>
      <c r="F181" s="326"/>
      <c r="G181" s="1"/>
      <c r="H181" s="1"/>
      <c r="I181" s="1"/>
      <c r="J181" s="1"/>
      <c r="K181" s="1"/>
      <c r="L181" s="1"/>
      <c r="M181" s="1"/>
      <c r="N181" s="1"/>
      <c r="O181" s="1"/>
      <c r="P181" s="333"/>
      <c r="Q181" s="1"/>
      <c r="R181" s="1"/>
      <c r="S181" s="4"/>
      <c r="T181" s="1"/>
      <c r="U181" s="1"/>
    </row>
    <row r="182" spans="1:24" ht="15.75" customHeight="1">
      <c r="A182" s="75"/>
      <c r="B182" s="576"/>
      <c r="C182" s="576"/>
      <c r="D182" s="576"/>
      <c r="E182" s="44"/>
      <c r="F182" s="326"/>
      <c r="G182" s="1"/>
      <c r="H182" s="1"/>
      <c r="I182" s="1"/>
      <c r="J182" s="1"/>
      <c r="K182" s="1"/>
      <c r="L182" s="1"/>
      <c r="M182" s="1"/>
      <c r="N182" s="1"/>
      <c r="O182" s="1"/>
      <c r="P182" s="333"/>
      <c r="Q182" s="1"/>
      <c r="R182" s="1"/>
      <c r="S182" s="4"/>
      <c r="T182" s="1"/>
      <c r="U182" s="1"/>
    </row>
    <row r="183" spans="1:24" ht="15.75" customHeight="1">
      <c r="A183" s="650"/>
      <c r="B183" s="651"/>
      <c r="C183" s="651"/>
      <c r="D183" s="651"/>
      <c r="E183" s="652"/>
      <c r="F183" s="504"/>
      <c r="G183" s="1"/>
      <c r="H183" s="1"/>
      <c r="I183" s="1"/>
      <c r="J183" s="1"/>
      <c r="K183" s="1"/>
      <c r="L183" s="1"/>
      <c r="M183" s="1"/>
      <c r="N183" s="1"/>
      <c r="O183" s="1"/>
      <c r="P183" s="333"/>
      <c r="Q183" s="1"/>
      <c r="R183" s="1"/>
      <c r="S183" s="4"/>
      <c r="T183" s="1"/>
      <c r="U183" s="1"/>
    </row>
    <row r="184" spans="1:24" ht="15.75" customHeight="1">
      <c r="A184" s="75"/>
      <c r="B184" s="660"/>
      <c r="C184" s="658"/>
      <c r="D184" s="667"/>
      <c r="E184" s="44"/>
      <c r="F184" s="326"/>
      <c r="G184" s="1"/>
      <c r="H184" s="1"/>
      <c r="I184" s="1"/>
      <c r="J184" s="1"/>
      <c r="K184" s="1"/>
      <c r="L184" s="1"/>
      <c r="M184" s="1"/>
      <c r="N184" s="1"/>
      <c r="O184" s="1"/>
      <c r="P184" s="333"/>
      <c r="Q184" s="1"/>
      <c r="R184" s="1"/>
      <c r="S184" s="4"/>
      <c r="T184" s="1"/>
      <c r="U184" s="1"/>
    </row>
    <row r="185" spans="1:24" ht="15.75" customHeight="1">
      <c r="A185" s="75"/>
      <c r="B185" s="615"/>
      <c r="C185" s="615"/>
      <c r="D185" s="615"/>
      <c r="E185" s="44"/>
      <c r="F185" s="326"/>
      <c r="G185" s="1"/>
      <c r="H185" s="1"/>
      <c r="I185" s="1"/>
      <c r="J185" s="1"/>
      <c r="K185" s="1"/>
      <c r="L185" s="1"/>
      <c r="M185" s="1"/>
      <c r="N185" s="1"/>
      <c r="O185" s="1"/>
      <c r="P185" s="333"/>
      <c r="Q185" s="1"/>
      <c r="R185" s="1"/>
      <c r="S185" s="4"/>
      <c r="T185" s="1"/>
      <c r="U185" s="1"/>
    </row>
    <row r="186" spans="1:24" ht="15.75" customHeight="1">
      <c r="A186" s="75"/>
      <c r="B186" s="576"/>
      <c r="C186" s="576"/>
      <c r="D186" s="576"/>
      <c r="E186" s="44"/>
      <c r="F186" s="326"/>
      <c r="G186" s="1"/>
      <c r="H186" s="1"/>
      <c r="I186" s="1"/>
      <c r="J186" s="1"/>
      <c r="K186" s="1"/>
      <c r="L186" s="1"/>
      <c r="M186" s="1"/>
      <c r="N186" s="1"/>
      <c r="O186" s="1"/>
      <c r="P186" s="333"/>
      <c r="Q186" s="1"/>
      <c r="R186" s="1"/>
      <c r="S186" s="4"/>
      <c r="T186" s="1"/>
      <c r="U186" s="1"/>
    </row>
    <row r="187" spans="1:24" ht="15.75" customHeight="1">
      <c r="A187" s="650"/>
      <c r="B187" s="651"/>
      <c r="C187" s="651"/>
      <c r="D187" s="651"/>
      <c r="E187" s="652"/>
      <c r="F187" s="504"/>
      <c r="G187" s="1"/>
      <c r="H187" s="1"/>
      <c r="I187" s="1"/>
      <c r="J187" s="1"/>
      <c r="K187" s="1"/>
      <c r="L187" s="1"/>
      <c r="M187" s="1"/>
      <c r="N187" s="1"/>
      <c r="O187" s="1"/>
      <c r="P187" s="333"/>
      <c r="Q187" s="1"/>
      <c r="R187" s="1"/>
      <c r="S187" s="4"/>
      <c r="T187" s="1"/>
      <c r="U187" s="1"/>
    </row>
    <row r="188" spans="1:24" ht="15.75" customHeight="1">
      <c r="A188" s="75"/>
      <c r="B188" s="660"/>
      <c r="C188" s="658"/>
      <c r="D188" s="659"/>
      <c r="E188" s="44"/>
      <c r="G188" s="1"/>
      <c r="H188" s="1"/>
      <c r="I188" s="1"/>
      <c r="J188" s="1"/>
      <c r="K188" s="1"/>
      <c r="L188" s="1"/>
      <c r="M188" s="1"/>
      <c r="N188" s="1"/>
      <c r="O188" s="1"/>
      <c r="P188" s="333"/>
      <c r="Q188" s="1"/>
      <c r="R188" s="1"/>
      <c r="S188" s="4"/>
      <c r="T188" s="1"/>
      <c r="U188" s="1"/>
    </row>
    <row r="189" spans="1:24" ht="15.75" customHeight="1">
      <c r="A189" s="75"/>
      <c r="B189" s="576"/>
      <c r="C189" s="576"/>
      <c r="D189" s="576"/>
      <c r="E189" s="44"/>
      <c r="F189" s="326"/>
      <c r="G189" s="1"/>
      <c r="H189" s="1"/>
      <c r="I189" s="1"/>
      <c r="J189" s="1"/>
      <c r="K189" s="1"/>
      <c r="L189" s="1"/>
      <c r="M189" s="1"/>
      <c r="N189" s="1"/>
      <c r="O189" s="1"/>
      <c r="P189" s="333"/>
      <c r="Q189" s="1"/>
      <c r="R189" s="1"/>
      <c r="S189" s="4"/>
      <c r="T189" s="1"/>
      <c r="U189" s="1"/>
    </row>
    <row r="190" spans="1:24" ht="15.75" customHeight="1">
      <c r="A190" s="650"/>
      <c r="B190" s="651"/>
      <c r="C190" s="651"/>
      <c r="D190" s="651"/>
      <c r="E190" s="652"/>
      <c r="F190" s="504"/>
      <c r="G190" s="1"/>
      <c r="H190" s="1"/>
      <c r="I190" s="1"/>
      <c r="J190" s="1"/>
      <c r="K190" s="1"/>
      <c r="L190" s="1"/>
      <c r="M190" s="1"/>
      <c r="N190" s="1"/>
      <c r="O190" s="1"/>
      <c r="P190" s="333"/>
      <c r="Q190" s="1"/>
      <c r="R190" s="1"/>
      <c r="S190" s="4"/>
      <c r="T190" s="1"/>
      <c r="U190" s="1"/>
    </row>
    <row r="191" spans="1:24" ht="15.75" customHeight="1">
      <c r="A191" s="75"/>
      <c r="B191" s="660"/>
      <c r="C191" s="658"/>
      <c r="D191" s="659"/>
      <c r="E191" s="44"/>
      <c r="G191" s="1"/>
      <c r="H191" s="1"/>
      <c r="I191" s="1"/>
      <c r="J191" s="1"/>
      <c r="K191" s="1"/>
      <c r="L191" s="1"/>
      <c r="M191" s="1"/>
      <c r="N191" s="1"/>
      <c r="O191" s="1"/>
      <c r="P191" s="333"/>
      <c r="Q191" s="1"/>
      <c r="R191" s="1"/>
      <c r="S191" s="4"/>
      <c r="T191" s="1"/>
      <c r="U191" s="1"/>
    </row>
    <row r="192" spans="1:24" ht="15.75" customHeight="1">
      <c r="A192" s="75"/>
      <c r="B192" s="615"/>
      <c r="C192" s="615"/>
      <c r="D192" s="615"/>
      <c r="E192" s="44"/>
      <c r="F192" s="326"/>
      <c r="G192" s="1"/>
      <c r="H192" s="1"/>
      <c r="I192" s="1"/>
      <c r="J192" s="1"/>
      <c r="K192" s="1"/>
      <c r="L192" s="1"/>
      <c r="M192" s="1"/>
      <c r="N192" s="1"/>
      <c r="O192" s="1"/>
      <c r="P192" s="333"/>
      <c r="Q192" s="1"/>
      <c r="R192" s="1"/>
      <c r="S192" s="4"/>
      <c r="T192" s="1"/>
      <c r="U192" s="1"/>
    </row>
    <row r="193" spans="1:21" ht="15.75" customHeight="1">
      <c r="A193" s="75"/>
      <c r="B193" s="576"/>
      <c r="C193" s="576"/>
      <c r="D193" s="576"/>
      <c r="E193" s="44"/>
      <c r="F193" s="326"/>
      <c r="G193" s="1"/>
      <c r="H193" s="1"/>
      <c r="I193" s="1"/>
      <c r="J193" s="1"/>
      <c r="K193" s="1"/>
      <c r="L193" s="1"/>
      <c r="M193" s="1"/>
      <c r="N193" s="1"/>
      <c r="O193" s="1"/>
      <c r="P193" s="333"/>
      <c r="Q193" s="1"/>
      <c r="R193" s="1"/>
      <c r="S193" s="4"/>
      <c r="T193" s="1"/>
      <c r="U193" s="1"/>
    </row>
    <row r="194" spans="1:21" ht="15.75" customHeight="1">
      <c r="A194" s="650"/>
      <c r="B194" s="651"/>
      <c r="C194" s="651"/>
      <c r="D194" s="651"/>
      <c r="E194" s="652"/>
      <c r="F194" s="504"/>
      <c r="G194" s="1"/>
      <c r="H194" s="1"/>
      <c r="I194" s="1"/>
      <c r="J194" s="1"/>
      <c r="K194" s="1"/>
      <c r="L194" s="1"/>
      <c r="M194" s="1"/>
      <c r="N194" s="1"/>
      <c r="O194" s="1"/>
      <c r="P194" s="333"/>
      <c r="Q194" s="1"/>
      <c r="R194" s="1"/>
      <c r="S194" s="4"/>
      <c r="T194" s="1"/>
      <c r="U194" s="1"/>
    </row>
    <row r="195" spans="1:21" ht="15.75" customHeight="1">
      <c r="A195" s="75"/>
      <c r="B195" s="660"/>
      <c r="C195" s="658"/>
      <c r="D195" s="659"/>
      <c r="E195" s="44"/>
      <c r="F195" s="326"/>
      <c r="G195" s="1"/>
      <c r="H195" s="1"/>
      <c r="I195" s="1"/>
      <c r="J195" s="1"/>
      <c r="K195" s="1"/>
      <c r="L195" s="1"/>
      <c r="M195" s="1"/>
      <c r="N195" s="1"/>
      <c r="O195" s="1"/>
      <c r="P195" s="333"/>
      <c r="Q195" s="1"/>
      <c r="R195" s="1"/>
      <c r="S195" s="4"/>
      <c r="T195" s="1"/>
      <c r="U195" s="1"/>
    </row>
    <row r="196" spans="1:21" ht="15.75" customHeight="1">
      <c r="A196" s="75"/>
      <c r="B196" s="615"/>
      <c r="C196" s="615"/>
      <c r="D196" s="615"/>
      <c r="E196" s="44"/>
      <c r="F196" s="326"/>
      <c r="G196" s="1"/>
      <c r="H196" s="1"/>
      <c r="I196" s="1"/>
      <c r="J196" s="1"/>
      <c r="K196" s="1"/>
      <c r="L196" s="1"/>
      <c r="M196" s="1"/>
      <c r="N196" s="1"/>
      <c r="O196" s="1"/>
      <c r="P196" s="333"/>
      <c r="Q196" s="1"/>
      <c r="R196" s="1"/>
      <c r="S196" s="4"/>
      <c r="T196" s="1"/>
      <c r="U196" s="1"/>
    </row>
    <row r="197" spans="1:21" ht="15.75" customHeight="1">
      <c r="A197" s="75"/>
      <c r="B197" s="576"/>
      <c r="C197" s="576"/>
      <c r="D197" s="576"/>
      <c r="E197" s="44"/>
      <c r="F197" s="326"/>
      <c r="G197" s="1"/>
      <c r="H197" s="1"/>
      <c r="I197" s="1"/>
      <c r="J197" s="1"/>
      <c r="K197" s="1"/>
      <c r="L197" s="1"/>
      <c r="M197" s="1"/>
      <c r="N197" s="1"/>
      <c r="O197" s="1"/>
      <c r="P197" s="333"/>
      <c r="Q197" s="1"/>
      <c r="R197" s="1"/>
      <c r="S197" s="4"/>
      <c r="T197" s="1"/>
      <c r="U197" s="1"/>
    </row>
    <row r="198" spans="1:21" ht="15.75" customHeight="1">
      <c r="A198" s="650"/>
      <c r="B198" s="651"/>
      <c r="C198" s="651"/>
      <c r="D198" s="651"/>
      <c r="E198" s="652"/>
      <c r="F198" s="504"/>
      <c r="G198" s="1"/>
      <c r="H198" s="1"/>
      <c r="I198" s="1"/>
      <c r="J198" s="1"/>
      <c r="K198" s="1"/>
      <c r="L198" s="1"/>
      <c r="M198" s="1"/>
      <c r="N198" s="1"/>
      <c r="O198" s="1"/>
      <c r="P198" s="333"/>
      <c r="Q198" s="1"/>
      <c r="R198" s="1"/>
      <c r="S198" s="4"/>
      <c r="T198" s="1"/>
      <c r="U198" s="1"/>
    </row>
    <row r="199" spans="1:21" ht="15.75" customHeight="1">
      <c r="A199" s="75"/>
      <c r="B199" s="660"/>
      <c r="C199" s="658"/>
      <c r="D199" s="659"/>
      <c r="E199" s="44"/>
      <c r="F199" s="326"/>
      <c r="G199" s="1"/>
      <c r="H199" s="1"/>
      <c r="I199" s="1"/>
      <c r="J199" s="1"/>
      <c r="K199" s="1"/>
      <c r="L199" s="1"/>
      <c r="M199" s="1"/>
      <c r="N199" s="1"/>
      <c r="O199" s="1"/>
      <c r="P199" s="333"/>
      <c r="Q199" s="1"/>
      <c r="R199" s="1"/>
      <c r="S199" s="4"/>
      <c r="T199" s="1"/>
      <c r="U199" s="1"/>
    </row>
    <row r="200" spans="1:21" ht="15.75" customHeight="1">
      <c r="A200" s="75"/>
      <c r="B200" s="576"/>
      <c r="C200" s="576"/>
      <c r="D200" s="576"/>
      <c r="E200" s="44"/>
      <c r="F200" s="326"/>
      <c r="G200" s="1"/>
      <c r="H200" s="1"/>
      <c r="I200" s="1"/>
      <c r="J200" s="1"/>
      <c r="K200" s="1"/>
      <c r="L200" s="1"/>
      <c r="M200" s="1"/>
      <c r="N200" s="1"/>
      <c r="O200" s="1"/>
      <c r="P200" s="333"/>
      <c r="Q200" s="1"/>
      <c r="R200" s="1"/>
      <c r="S200" s="4"/>
      <c r="T200" s="1"/>
      <c r="U200" s="1"/>
    </row>
    <row r="201" spans="1:21" ht="15.75" customHeight="1">
      <c r="A201" s="650"/>
      <c r="B201" s="651"/>
      <c r="C201" s="651"/>
      <c r="D201" s="651"/>
      <c r="E201" s="652"/>
      <c r="F201" s="504"/>
      <c r="G201" s="1"/>
      <c r="H201" s="1"/>
      <c r="I201" s="1"/>
      <c r="J201" s="1"/>
      <c r="K201" s="1"/>
      <c r="L201" s="1"/>
      <c r="M201" s="1"/>
      <c r="N201" s="1"/>
      <c r="O201" s="1"/>
      <c r="P201" s="333"/>
      <c r="Q201" s="1"/>
      <c r="R201" s="1"/>
      <c r="S201" s="4"/>
      <c r="T201" s="1"/>
      <c r="U201" s="1"/>
    </row>
    <row r="202" spans="1:21" ht="15.75" customHeight="1">
      <c r="A202" s="75"/>
      <c r="B202" s="660"/>
      <c r="C202" s="658"/>
      <c r="D202" s="659"/>
      <c r="E202" s="44"/>
      <c r="F202" s="326"/>
      <c r="G202" s="1"/>
      <c r="H202" s="1"/>
      <c r="I202" s="1"/>
      <c r="J202" s="1"/>
      <c r="K202" s="1"/>
      <c r="L202" s="1"/>
      <c r="M202" s="1"/>
      <c r="N202" s="1"/>
      <c r="O202" s="1"/>
      <c r="P202" s="333"/>
      <c r="Q202" s="1"/>
      <c r="R202" s="1"/>
      <c r="S202" s="4"/>
      <c r="T202" s="1"/>
      <c r="U202" s="1"/>
    </row>
    <row r="203" spans="1:21" ht="15.75" customHeight="1">
      <c r="A203" s="75"/>
      <c r="B203" s="615"/>
      <c r="C203" s="615"/>
      <c r="D203" s="615"/>
      <c r="E203" s="44"/>
      <c r="F203" s="326"/>
      <c r="G203" s="1"/>
      <c r="H203" s="1"/>
      <c r="I203" s="1"/>
      <c r="J203" s="1"/>
      <c r="K203" s="1"/>
      <c r="L203" s="1"/>
      <c r="M203" s="1"/>
      <c r="N203" s="1"/>
      <c r="O203" s="1"/>
      <c r="P203" s="333"/>
      <c r="Q203" s="1"/>
      <c r="R203" s="1"/>
      <c r="S203" s="4"/>
      <c r="T203" s="1"/>
      <c r="U203" s="1"/>
    </row>
    <row r="204" spans="1:21" ht="15.75" customHeight="1">
      <c r="A204" s="75"/>
      <c r="B204" s="576"/>
      <c r="C204" s="576"/>
      <c r="D204" s="576"/>
      <c r="E204" s="44"/>
      <c r="F204" s="326"/>
      <c r="G204" s="1"/>
      <c r="H204" s="1"/>
      <c r="I204" s="1"/>
      <c r="J204" s="1"/>
      <c r="K204" s="1"/>
      <c r="L204" s="1"/>
      <c r="M204" s="1"/>
      <c r="N204" s="1"/>
      <c r="O204" s="1"/>
      <c r="P204" s="333"/>
      <c r="Q204" s="1"/>
      <c r="R204" s="1"/>
      <c r="S204" s="4"/>
      <c r="T204" s="1"/>
      <c r="U204" s="1"/>
    </row>
    <row r="205" spans="1:21" ht="15.75" customHeight="1">
      <c r="A205" s="650"/>
      <c r="B205" s="651"/>
      <c r="C205" s="651"/>
      <c r="D205" s="651"/>
      <c r="E205" s="652"/>
      <c r="F205" s="504"/>
      <c r="G205" s="1"/>
      <c r="H205" s="1"/>
      <c r="I205" s="1"/>
      <c r="J205" s="1"/>
      <c r="K205" s="1"/>
      <c r="L205" s="1"/>
      <c r="M205" s="1"/>
      <c r="N205" s="1"/>
      <c r="O205" s="1"/>
      <c r="P205" s="333"/>
      <c r="Q205" s="1"/>
      <c r="R205" s="1"/>
      <c r="S205" s="4"/>
      <c r="T205" s="1"/>
      <c r="U205" s="1"/>
    </row>
    <row r="206" spans="1:21" ht="15.75" customHeight="1">
      <c r="A206" s="75"/>
      <c r="B206" s="660"/>
      <c r="C206" s="658"/>
      <c r="D206" s="659"/>
      <c r="E206" s="44"/>
      <c r="F206" s="326"/>
      <c r="G206" s="1"/>
      <c r="H206" s="1"/>
      <c r="I206" s="1"/>
      <c r="J206" s="1"/>
      <c r="K206" s="1"/>
      <c r="L206" s="1"/>
      <c r="M206" s="1"/>
      <c r="N206" s="1"/>
      <c r="O206" s="1"/>
      <c r="P206" s="333"/>
      <c r="Q206" s="1"/>
      <c r="R206" s="1"/>
      <c r="S206" s="4"/>
      <c r="T206" s="1"/>
      <c r="U206" s="1"/>
    </row>
    <row r="207" spans="1:21" ht="15.75" customHeight="1">
      <c r="A207" s="75"/>
      <c r="B207" s="615"/>
      <c r="C207" s="615"/>
      <c r="D207" s="615"/>
      <c r="E207" s="44"/>
      <c r="F207" s="326"/>
      <c r="G207" s="1"/>
      <c r="H207" s="1"/>
      <c r="I207" s="1"/>
      <c r="J207" s="1"/>
      <c r="K207" s="1"/>
      <c r="L207" s="1"/>
      <c r="M207" s="1"/>
      <c r="N207" s="1"/>
      <c r="O207" s="1"/>
      <c r="P207" s="333"/>
      <c r="Q207" s="1"/>
      <c r="R207" s="1"/>
      <c r="S207" s="4"/>
      <c r="T207" s="1"/>
      <c r="U207" s="1"/>
    </row>
    <row r="208" spans="1:21" ht="15.75" customHeight="1">
      <c r="A208" s="75"/>
      <c r="B208" s="576"/>
      <c r="C208" s="576"/>
      <c r="D208" s="576"/>
      <c r="E208" s="44"/>
      <c r="F208" s="326"/>
      <c r="G208" s="1"/>
      <c r="H208" s="1"/>
      <c r="I208" s="1"/>
      <c r="J208" s="1"/>
      <c r="K208" s="1"/>
      <c r="L208" s="1"/>
      <c r="M208" s="1"/>
      <c r="N208" s="1"/>
      <c r="O208" s="1"/>
      <c r="P208" s="333"/>
      <c r="Q208" s="1"/>
      <c r="R208" s="1"/>
      <c r="S208" s="4"/>
      <c r="T208" s="1"/>
      <c r="U208" s="1"/>
    </row>
    <row r="209" spans="1:34" ht="15.75" customHeight="1">
      <c r="A209" s="650"/>
      <c r="B209" s="651"/>
      <c r="C209" s="651"/>
      <c r="D209" s="651"/>
      <c r="E209" s="652"/>
      <c r="F209" s="504"/>
      <c r="G209" s="1"/>
      <c r="H209" s="1"/>
      <c r="I209" s="1"/>
      <c r="J209" s="1"/>
      <c r="K209" s="1"/>
      <c r="L209" s="1"/>
      <c r="M209" s="1"/>
      <c r="N209" s="1"/>
      <c r="O209" s="1"/>
      <c r="P209" s="333"/>
      <c r="Q209" s="1"/>
      <c r="R209" s="1"/>
      <c r="S209" s="4"/>
      <c r="T209" s="1"/>
      <c r="U209" s="1"/>
    </row>
    <row r="210" spans="1:34" ht="15.75" customHeight="1">
      <c r="A210" s="75"/>
      <c r="B210" s="660"/>
      <c r="C210" s="658"/>
      <c r="D210" s="659"/>
      <c r="E210" s="44"/>
      <c r="F210" s="326"/>
      <c r="G210" s="1"/>
      <c r="H210" s="1"/>
      <c r="I210" s="1"/>
      <c r="J210" s="1"/>
      <c r="K210" s="1"/>
      <c r="L210" s="1"/>
      <c r="M210" s="1"/>
      <c r="N210" s="1"/>
      <c r="O210" s="1"/>
      <c r="P210" s="333"/>
      <c r="Q210" s="1"/>
      <c r="R210" s="1"/>
      <c r="S210" s="4"/>
      <c r="T210" s="1"/>
      <c r="U210" s="1"/>
    </row>
    <row r="211" spans="1:34" ht="15.75" customHeight="1">
      <c r="A211" s="75"/>
      <c r="B211" s="615"/>
      <c r="C211" s="615"/>
      <c r="D211" s="615"/>
      <c r="E211" s="44"/>
      <c r="F211" s="326"/>
      <c r="G211" s="1"/>
      <c r="H211" s="1"/>
      <c r="I211" s="1"/>
      <c r="J211" s="1"/>
      <c r="K211" s="1"/>
      <c r="L211" s="1"/>
      <c r="M211" s="1"/>
      <c r="N211" s="1"/>
      <c r="O211" s="1"/>
      <c r="P211" s="333"/>
      <c r="Q211" s="1"/>
      <c r="R211" s="1"/>
      <c r="S211" s="4"/>
      <c r="T211" s="1"/>
      <c r="U211" s="1"/>
    </row>
    <row r="212" spans="1:34" ht="15.75" customHeight="1">
      <c r="A212" s="75"/>
      <c r="B212" s="576"/>
      <c r="C212" s="576"/>
      <c r="D212" s="576"/>
      <c r="E212" s="44"/>
      <c r="F212" s="326"/>
      <c r="G212" s="1"/>
      <c r="H212" s="1"/>
      <c r="I212" s="1"/>
      <c r="J212" s="1"/>
      <c r="K212" s="1"/>
      <c r="L212" s="1"/>
      <c r="M212" s="1"/>
      <c r="N212" s="1"/>
      <c r="O212" s="1"/>
      <c r="P212" s="333"/>
      <c r="Q212" s="1"/>
      <c r="R212" s="1"/>
      <c r="S212" s="4"/>
      <c r="T212" s="1"/>
      <c r="U212" s="1"/>
    </row>
    <row r="213" spans="1:34" ht="15.75" customHeight="1">
      <c r="A213" s="650"/>
      <c r="B213" s="651"/>
      <c r="C213" s="651"/>
      <c r="D213" s="651"/>
      <c r="E213" s="652"/>
      <c r="F213" s="504"/>
      <c r="G213" s="1"/>
      <c r="H213" s="1"/>
      <c r="I213" s="1"/>
      <c r="J213" s="1"/>
      <c r="K213" s="1"/>
      <c r="L213" s="1"/>
      <c r="M213" s="1"/>
      <c r="N213" s="1"/>
      <c r="O213" s="1"/>
      <c r="P213" s="333"/>
      <c r="Q213" s="1"/>
      <c r="R213" s="1"/>
      <c r="S213" s="4"/>
      <c r="T213" s="1"/>
      <c r="U213" s="1"/>
    </row>
    <row r="214" spans="1:34" ht="15.75" customHeight="1">
      <c r="A214" s="75"/>
      <c r="B214" s="660"/>
      <c r="C214" s="658"/>
      <c r="D214" s="659"/>
      <c r="E214" s="44"/>
      <c r="F214" s="326"/>
      <c r="G214" s="1"/>
      <c r="H214" s="1"/>
      <c r="I214" s="1"/>
      <c r="J214" s="1"/>
      <c r="K214" s="1"/>
      <c r="L214" s="1"/>
      <c r="M214" s="1"/>
      <c r="N214" s="1"/>
      <c r="O214" s="1"/>
      <c r="P214" s="333"/>
      <c r="Q214" s="1"/>
      <c r="R214" s="1"/>
      <c r="S214" s="4"/>
      <c r="T214" s="1"/>
      <c r="U214" s="1"/>
    </row>
    <row r="215" spans="1:34" ht="15.75" customHeight="1">
      <c r="A215" s="75"/>
      <c r="B215" s="615"/>
      <c r="C215" s="615"/>
      <c r="D215" s="615"/>
      <c r="E215" s="44"/>
      <c r="F215" s="326"/>
      <c r="G215" s="1"/>
      <c r="H215" s="1"/>
      <c r="I215" s="1"/>
      <c r="J215" s="1"/>
      <c r="K215" s="1"/>
      <c r="L215" s="1"/>
      <c r="M215" s="1"/>
      <c r="N215" s="1"/>
      <c r="O215" s="1"/>
      <c r="P215" s="333"/>
      <c r="Q215" s="1"/>
      <c r="R215" s="1"/>
      <c r="S215" s="4"/>
      <c r="T215" s="1"/>
      <c r="U215" s="1"/>
    </row>
    <row r="216" spans="1:34" ht="15.75" customHeight="1">
      <c r="A216" s="75"/>
      <c r="B216" s="576"/>
      <c r="C216" s="576"/>
      <c r="D216" s="576"/>
      <c r="E216" s="44"/>
      <c r="F216" s="326"/>
      <c r="G216" s="1"/>
      <c r="H216" s="1"/>
      <c r="I216" s="1"/>
      <c r="J216" s="1"/>
      <c r="K216" s="1"/>
      <c r="L216" s="1"/>
      <c r="M216" s="1"/>
      <c r="N216" s="1"/>
      <c r="O216" s="1"/>
      <c r="P216" s="333"/>
      <c r="Q216" s="1"/>
      <c r="R216" s="1"/>
      <c r="S216" s="4"/>
      <c r="T216" s="1"/>
      <c r="U216" s="1"/>
    </row>
    <row r="217" spans="1:34" ht="15.75" customHeight="1">
      <c r="A217" s="650"/>
      <c r="B217" s="651"/>
      <c r="C217" s="651"/>
      <c r="D217" s="651"/>
      <c r="E217" s="652"/>
      <c r="F217" s="504"/>
      <c r="G217" s="1"/>
      <c r="H217" s="1"/>
      <c r="I217" s="1"/>
      <c r="J217" s="1"/>
      <c r="K217" s="1"/>
      <c r="L217" s="1"/>
      <c r="M217" s="1"/>
      <c r="N217" s="1"/>
      <c r="O217" s="1"/>
      <c r="P217" s="333"/>
      <c r="Q217" s="1"/>
      <c r="R217" s="1"/>
      <c r="S217" s="4"/>
      <c r="T217" s="1"/>
      <c r="U217" s="1"/>
    </row>
    <row r="218" spans="1:34" ht="15.75" customHeight="1">
      <c r="A218" s="75"/>
      <c r="B218" s="660"/>
      <c r="C218" s="658"/>
      <c r="D218" s="657"/>
      <c r="E218" s="44"/>
      <c r="F218" s="326"/>
      <c r="G218" s="1"/>
      <c r="H218" s="1"/>
      <c r="I218" s="1"/>
      <c r="J218" s="1"/>
      <c r="K218" s="1"/>
      <c r="L218" s="1"/>
      <c r="M218" s="1"/>
      <c r="N218" s="1"/>
      <c r="O218" s="1"/>
      <c r="P218" s="333"/>
      <c r="Q218" s="1"/>
      <c r="R218" s="1"/>
      <c r="S218" s="4"/>
      <c r="T218" s="1"/>
      <c r="U218" s="1"/>
    </row>
    <row r="219" spans="1:34" ht="15.75" customHeight="1">
      <c r="A219" s="75"/>
      <c r="B219" s="615"/>
      <c r="C219" s="615"/>
      <c r="D219" s="615"/>
      <c r="E219" s="44"/>
      <c r="F219" s="326"/>
      <c r="G219" s="1"/>
      <c r="H219" s="1"/>
      <c r="I219" s="1"/>
      <c r="J219" s="1"/>
      <c r="K219" s="1"/>
      <c r="L219" s="1"/>
      <c r="M219" s="1"/>
      <c r="N219" s="1"/>
      <c r="O219" s="1"/>
      <c r="P219" s="333"/>
      <c r="Q219" s="1"/>
      <c r="R219" s="1"/>
      <c r="S219" s="4"/>
      <c r="T219" s="1"/>
      <c r="U219" s="1"/>
    </row>
    <row r="220" spans="1:34" ht="15.75" customHeight="1">
      <c r="A220" s="75"/>
      <c r="B220" s="576"/>
      <c r="C220" s="576"/>
      <c r="D220" s="576"/>
      <c r="E220" s="44"/>
      <c r="F220" s="326"/>
      <c r="G220" s="1"/>
      <c r="H220" s="1"/>
      <c r="I220" s="1"/>
      <c r="J220" s="1"/>
      <c r="K220" s="1"/>
      <c r="L220" s="1"/>
      <c r="M220" s="1"/>
      <c r="N220" s="1"/>
      <c r="O220" s="1"/>
      <c r="P220" s="333"/>
      <c r="Q220" s="1"/>
      <c r="R220" s="1"/>
      <c r="S220" s="4"/>
      <c r="T220" s="1"/>
      <c r="U220" s="1"/>
    </row>
    <row r="221" spans="1:34" ht="15.75" customHeight="1">
      <c r="A221" s="641"/>
      <c r="B221" s="642"/>
      <c r="C221" s="642"/>
      <c r="D221" s="642"/>
      <c r="E221" s="643"/>
      <c r="F221" s="504"/>
      <c r="G221" s="1"/>
      <c r="H221" s="1"/>
      <c r="I221" s="1"/>
      <c r="J221" s="1"/>
      <c r="K221" s="1"/>
      <c r="L221" s="1"/>
      <c r="M221" s="1"/>
      <c r="N221" s="1"/>
      <c r="O221" s="1"/>
      <c r="P221" s="333"/>
      <c r="Q221" s="1"/>
      <c r="R221" s="1"/>
      <c r="S221" s="4"/>
      <c r="T221" s="1"/>
      <c r="U221" s="1"/>
    </row>
    <row r="222" spans="1:34" ht="14.1" customHeight="1">
      <c r="A222" s="6"/>
      <c r="B222" s="11"/>
      <c r="C222" s="6"/>
      <c r="D222" s="6"/>
      <c r="E222" s="6"/>
      <c r="F222" s="6"/>
      <c r="G222" s="6"/>
      <c r="H222" s="6"/>
      <c r="I222" s="6"/>
      <c r="J222" s="6"/>
      <c r="K222" s="6"/>
      <c r="L222" s="6"/>
      <c r="M222" s="6"/>
      <c r="N222" s="6"/>
      <c r="O222" s="6"/>
      <c r="P222" s="6"/>
      <c r="Q222" s="6"/>
      <c r="R222" s="6"/>
      <c r="S222" s="6"/>
      <c r="T222" s="6"/>
      <c r="U222" s="6"/>
      <c r="V222" s="6"/>
      <c r="W222" s="6"/>
      <c r="X222" s="6"/>
      <c r="Y222" s="6"/>
      <c r="AC222" s="6"/>
      <c r="AD222" s="6"/>
      <c r="AE222" s="6"/>
      <c r="AF222" s="6"/>
      <c r="AG222" s="6"/>
      <c r="AH222" s="6"/>
    </row>
    <row r="223" spans="1:34" ht="4.5" customHeight="1">
      <c r="A223" s="6"/>
      <c r="B223" s="11"/>
      <c r="C223" s="6"/>
      <c r="D223" s="6"/>
      <c r="E223" s="6"/>
      <c r="F223" s="6"/>
      <c r="G223" s="6"/>
      <c r="H223" s="6"/>
      <c r="I223" s="6"/>
      <c r="J223" s="6"/>
      <c r="K223" s="6"/>
      <c r="L223" s="6"/>
      <c r="M223" s="6"/>
      <c r="N223" s="6"/>
      <c r="O223" s="6"/>
      <c r="P223" s="6"/>
      <c r="Q223" s="6"/>
      <c r="R223" s="6"/>
      <c r="S223" s="6"/>
      <c r="T223" s="6"/>
      <c r="U223" s="6"/>
      <c r="V223" s="6"/>
      <c r="W223" s="6"/>
      <c r="X223" s="6"/>
      <c r="Y223" s="6"/>
      <c r="AC223" s="6"/>
      <c r="AD223" s="6"/>
      <c r="AE223" s="6"/>
      <c r="AF223" s="6"/>
      <c r="AG223" s="6"/>
      <c r="AH223" s="6"/>
    </row>
    <row r="224" spans="1:34" ht="18" customHeight="1">
      <c r="A224" s="6"/>
      <c r="B224" s="668" t="s">
        <v>185</v>
      </c>
      <c r="C224" s="669"/>
      <c r="D224" s="669"/>
      <c r="E224" s="669"/>
      <c r="F224" s="670"/>
      <c r="G224" s="6"/>
      <c r="H224" s="6"/>
      <c r="I224" s="6"/>
      <c r="J224" s="6"/>
      <c r="L224" s="6"/>
      <c r="M224" s="6"/>
      <c r="N224" s="6"/>
      <c r="O224" s="6"/>
      <c r="P224" s="6"/>
      <c r="Q224" s="6"/>
      <c r="R224" s="6"/>
      <c r="S224" s="6"/>
      <c r="T224" s="6"/>
      <c r="U224" s="6"/>
      <c r="V224" s="6"/>
      <c r="W224" s="6"/>
      <c r="X224" s="6"/>
      <c r="Y224" s="6"/>
      <c r="AC224" s="6"/>
      <c r="AD224" s="6"/>
      <c r="AE224" s="6"/>
      <c r="AF224" s="6"/>
      <c r="AG224" s="6"/>
      <c r="AH224" s="6"/>
    </row>
    <row r="225" spans="1:34" ht="4.5" customHeight="1">
      <c r="A225" s="6"/>
      <c r="B225" s="11"/>
      <c r="C225" s="6"/>
      <c r="D225" s="6"/>
      <c r="E225" s="6"/>
      <c r="F225" s="6"/>
      <c r="G225" s="6"/>
      <c r="H225" s="6"/>
      <c r="I225" s="6"/>
      <c r="J225" s="6"/>
      <c r="K225" s="6"/>
      <c r="L225" s="6"/>
      <c r="M225" s="6"/>
      <c r="N225" s="6"/>
      <c r="O225" s="6"/>
      <c r="P225" s="6"/>
      <c r="Q225" s="6"/>
      <c r="R225" s="6"/>
      <c r="S225" s="6"/>
      <c r="T225" s="6"/>
      <c r="U225" s="6"/>
      <c r="V225" s="6"/>
      <c r="W225" s="6"/>
      <c r="X225" s="6"/>
      <c r="Y225" s="6"/>
      <c r="AC225" s="6"/>
      <c r="AD225" s="6"/>
      <c r="AE225" s="6"/>
      <c r="AF225" s="6"/>
      <c r="AG225" s="6"/>
      <c r="AH225" s="6"/>
    </row>
    <row r="226" spans="1:34" ht="18.75">
      <c r="A226" s="75" t="s">
        <v>136</v>
      </c>
      <c r="B226" s="337" t="s">
        <v>358</v>
      </c>
      <c r="C226" s="337"/>
      <c r="D226" s="338"/>
      <c r="E226" s="138" t="s">
        <v>342</v>
      </c>
      <c r="F226" s="326">
        <v>6.35</v>
      </c>
      <c r="G226" s="1"/>
      <c r="H226" s="1"/>
      <c r="I226" s="1"/>
      <c r="J226" s="1"/>
      <c r="K226" s="1"/>
      <c r="L226" s="1"/>
      <c r="M226" s="1"/>
      <c r="N226" s="1"/>
      <c r="O226" s="1"/>
      <c r="P226" s="311"/>
      <c r="Q226" s="1"/>
      <c r="R226" s="1"/>
      <c r="S226" s="4"/>
      <c r="T226" s="1"/>
      <c r="U226" s="1"/>
    </row>
    <row r="227" spans="1:34" ht="18.75">
      <c r="A227" s="75"/>
      <c r="B227" s="337"/>
      <c r="C227" s="337"/>
      <c r="D227" s="338"/>
      <c r="E227" s="138"/>
      <c r="F227" s="326"/>
      <c r="G227" s="1"/>
      <c r="H227" s="1"/>
      <c r="I227" s="1"/>
      <c r="J227" s="1"/>
      <c r="K227" s="1"/>
      <c r="L227" s="1"/>
      <c r="M227" s="1"/>
      <c r="N227" s="1"/>
      <c r="O227" s="1"/>
      <c r="P227" s="311"/>
      <c r="Q227" s="1"/>
      <c r="R227" s="1"/>
      <c r="S227" s="4"/>
      <c r="T227" s="1"/>
      <c r="U227" s="1"/>
    </row>
    <row r="228" spans="1:34" ht="18" customHeight="1">
      <c r="A228" s="75"/>
      <c r="B228" s="337"/>
      <c r="C228" s="337"/>
      <c r="D228" s="338"/>
      <c r="E228" s="138"/>
      <c r="F228" s="326"/>
      <c r="G228" s="1"/>
      <c r="H228" s="1"/>
      <c r="I228" s="1"/>
      <c r="J228" s="1"/>
      <c r="K228" s="1"/>
      <c r="L228" s="1"/>
      <c r="M228" s="1"/>
      <c r="N228" s="1"/>
      <c r="O228" s="1"/>
      <c r="P228" s="311"/>
      <c r="Q228" s="1"/>
      <c r="R228" s="1"/>
      <c r="S228" s="4"/>
      <c r="T228" s="1"/>
      <c r="U228" s="1"/>
    </row>
    <row r="229" spans="1:34" ht="18.75" customHeight="1">
      <c r="A229" s="104"/>
      <c r="B229" s="204"/>
      <c r="C229" s="204"/>
      <c r="D229" s="204"/>
      <c r="E229" s="339"/>
      <c r="F229" s="106"/>
      <c r="G229" s="1"/>
      <c r="H229" s="1"/>
      <c r="I229" s="1"/>
      <c r="J229" s="1"/>
      <c r="K229" s="1"/>
      <c r="L229" s="1"/>
      <c r="M229" s="1"/>
      <c r="N229" s="1"/>
      <c r="O229" s="1"/>
      <c r="P229" s="311"/>
      <c r="Q229" s="1"/>
      <c r="R229" s="1"/>
      <c r="S229" s="4"/>
      <c r="T229" s="1"/>
      <c r="U229" s="1"/>
    </row>
    <row r="230" spans="1:34" ht="15" customHeight="1">
      <c r="A230" s="75"/>
      <c r="B230" s="337"/>
      <c r="C230" s="337"/>
      <c r="D230" s="337"/>
      <c r="E230" s="138"/>
      <c r="F230" s="326"/>
      <c r="G230" s="1"/>
      <c r="H230" s="1"/>
      <c r="I230" s="1"/>
      <c r="J230" s="1"/>
      <c r="K230" s="1"/>
      <c r="L230" s="1"/>
      <c r="M230" s="1"/>
      <c r="N230" s="1"/>
      <c r="O230" s="1"/>
      <c r="P230" s="311"/>
      <c r="Q230" s="1"/>
      <c r="R230" s="1"/>
      <c r="S230" s="4"/>
      <c r="T230" s="1"/>
      <c r="U230" s="1"/>
    </row>
    <row r="231" spans="1:34" ht="15" customHeight="1">
      <c r="A231" s="75"/>
      <c r="B231" s="337"/>
      <c r="C231" s="337"/>
      <c r="D231" s="337"/>
      <c r="E231" s="138"/>
      <c r="F231" s="326"/>
      <c r="G231" s="1"/>
      <c r="H231" s="1"/>
      <c r="I231" s="1"/>
      <c r="J231" s="1"/>
      <c r="K231" s="1"/>
      <c r="L231" s="1"/>
      <c r="M231" s="1"/>
      <c r="N231" s="1"/>
      <c r="O231" s="1"/>
      <c r="P231" s="311"/>
      <c r="Q231" s="1"/>
      <c r="R231" s="1"/>
      <c r="S231" s="4"/>
      <c r="T231" s="1"/>
      <c r="U231" s="1"/>
    </row>
    <row r="232" spans="1:34" ht="15" customHeight="1">
      <c r="A232" s="75"/>
      <c r="B232" s="337"/>
      <c r="C232" s="337"/>
      <c r="D232" s="337"/>
      <c r="E232" s="138"/>
      <c r="F232" s="326"/>
      <c r="G232" s="1"/>
      <c r="H232" s="1"/>
      <c r="I232" s="1"/>
      <c r="J232" s="1"/>
      <c r="K232" s="1"/>
      <c r="L232" s="1"/>
      <c r="M232" s="1"/>
      <c r="N232" s="1"/>
      <c r="O232" s="1"/>
      <c r="P232" s="311"/>
      <c r="Q232" s="1"/>
      <c r="R232" s="1"/>
      <c r="S232" s="4"/>
      <c r="T232" s="1"/>
      <c r="U232" s="1"/>
    </row>
    <row r="233" spans="1:34" ht="15" customHeight="1">
      <c r="A233" s="75"/>
      <c r="B233" s="337"/>
      <c r="C233" s="337"/>
      <c r="D233" s="337"/>
      <c r="E233" s="138"/>
      <c r="F233" s="326"/>
      <c r="G233" s="1"/>
      <c r="H233" s="1"/>
      <c r="I233" s="1"/>
      <c r="J233" s="1"/>
      <c r="K233" s="1"/>
      <c r="L233" s="1"/>
      <c r="M233" s="1"/>
      <c r="N233" s="1"/>
      <c r="O233" s="1"/>
      <c r="P233" s="311"/>
      <c r="Q233" s="1"/>
      <c r="R233" s="1"/>
      <c r="S233" s="4"/>
      <c r="T233" s="1"/>
      <c r="U233" s="1"/>
    </row>
    <row r="234" spans="1:34" ht="15" customHeight="1">
      <c r="A234" s="75"/>
      <c r="B234" s="337"/>
      <c r="C234" s="337"/>
      <c r="D234" s="337"/>
      <c r="E234" s="138"/>
      <c r="F234" s="326"/>
      <c r="G234" s="1"/>
      <c r="H234" s="1"/>
      <c r="I234" s="1"/>
      <c r="J234" s="1"/>
      <c r="K234" s="1"/>
      <c r="L234" s="1"/>
      <c r="M234" s="1"/>
      <c r="N234" s="1"/>
      <c r="O234" s="1"/>
      <c r="P234" s="311"/>
      <c r="Q234" s="1"/>
      <c r="R234" s="1"/>
      <c r="S234" s="4"/>
      <c r="T234" s="1"/>
      <c r="U234" s="1"/>
    </row>
    <row r="235" spans="1:34" ht="15" customHeight="1">
      <c r="A235" s="75"/>
      <c r="B235" s="337"/>
      <c r="C235" s="337"/>
      <c r="D235" s="337"/>
      <c r="E235" s="138"/>
      <c r="F235" s="326"/>
      <c r="G235" s="1"/>
      <c r="H235" s="1"/>
      <c r="I235" s="1"/>
      <c r="J235" s="1"/>
      <c r="K235" s="1"/>
      <c r="L235" s="1"/>
      <c r="M235" s="1"/>
      <c r="N235" s="1"/>
      <c r="O235" s="1"/>
      <c r="P235" s="311"/>
      <c r="Q235" s="1"/>
      <c r="R235" s="1"/>
      <c r="S235" s="4"/>
      <c r="T235" s="1"/>
      <c r="U235" s="1"/>
    </row>
    <row r="236" spans="1:34" ht="15" customHeight="1">
      <c r="A236" s="75"/>
      <c r="B236" s="337"/>
      <c r="C236" s="337"/>
      <c r="D236" s="337"/>
      <c r="E236" s="138"/>
      <c r="F236" s="326"/>
      <c r="G236" s="1"/>
      <c r="H236" s="1"/>
      <c r="I236" s="1"/>
      <c r="J236" s="1"/>
      <c r="K236" s="1"/>
      <c r="L236" s="1"/>
      <c r="M236" s="1"/>
      <c r="N236" s="1"/>
      <c r="O236" s="1"/>
      <c r="P236" s="311"/>
      <c r="Q236" s="1"/>
      <c r="R236" s="1"/>
      <c r="S236" s="4"/>
      <c r="T236" s="1"/>
      <c r="U236" s="1"/>
    </row>
    <row r="237" spans="1:34" ht="15" customHeight="1">
      <c r="A237" s="75"/>
      <c r="B237" s="337"/>
      <c r="C237" s="337"/>
      <c r="D237" s="337"/>
      <c r="E237" s="138"/>
      <c r="F237" s="326"/>
      <c r="G237" s="1"/>
      <c r="H237" s="1"/>
      <c r="I237" s="1"/>
      <c r="J237" s="1"/>
      <c r="K237" s="1"/>
      <c r="L237" s="1"/>
      <c r="M237" s="1"/>
      <c r="N237" s="1"/>
      <c r="O237" s="1"/>
      <c r="P237" s="311"/>
      <c r="Q237" s="1"/>
      <c r="R237" s="1"/>
      <c r="S237" s="4"/>
      <c r="T237" s="1"/>
      <c r="U237" s="1"/>
    </row>
    <row r="238" spans="1:34" ht="15.75" customHeight="1" thickBot="1">
      <c r="A238" s="1"/>
      <c r="B238" s="4"/>
      <c r="C238" s="4"/>
      <c r="D238" s="4"/>
      <c r="E238" s="4"/>
      <c r="F238" s="340"/>
      <c r="G238" s="1"/>
      <c r="H238" s="1"/>
      <c r="I238" s="1"/>
      <c r="J238" s="1"/>
      <c r="K238" s="1"/>
      <c r="L238" s="1"/>
      <c r="M238" s="1"/>
      <c r="N238" s="1"/>
      <c r="O238" s="1"/>
      <c r="P238" s="311"/>
      <c r="Q238" s="1"/>
      <c r="R238" s="1"/>
      <c r="S238" s="1"/>
      <c r="T238" s="1"/>
      <c r="U238" s="1"/>
    </row>
    <row r="239" spans="1:34" ht="15.75" customHeight="1" thickBot="1">
      <c r="A239" s="1"/>
      <c r="B239" s="1"/>
      <c r="C239" s="1"/>
      <c r="D239" s="613" t="s">
        <v>359</v>
      </c>
      <c r="E239" s="517"/>
      <c r="F239" s="341">
        <f>SUM(F15:F27)+SUM(F35:F131)+SUM(F138:F220)+SUM(F226:F229)+SUM(X35:X131)</f>
        <v>114.4</v>
      </c>
      <c r="G239" s="1"/>
      <c r="H239" s="1"/>
      <c r="I239" s="1"/>
      <c r="J239" s="1"/>
      <c r="K239" s="1"/>
      <c r="L239" s="1"/>
      <c r="M239" s="1"/>
      <c r="N239" s="1"/>
      <c r="O239" s="1"/>
      <c r="P239" s="311"/>
      <c r="Q239" s="1"/>
      <c r="R239" s="1"/>
      <c r="S239" s="1"/>
      <c r="T239" s="1"/>
      <c r="U239" s="1"/>
    </row>
    <row r="240" spans="1:34" ht="15.75" customHeight="1" thickBot="1">
      <c r="A240" s="1"/>
      <c r="B240" s="1"/>
      <c r="C240" s="1"/>
      <c r="D240" s="1"/>
      <c r="E240" s="1"/>
      <c r="F240" s="1"/>
      <c r="G240" s="1"/>
      <c r="H240" s="1"/>
      <c r="I240" s="1"/>
      <c r="J240" s="1"/>
      <c r="K240" s="1"/>
      <c r="L240" s="1"/>
      <c r="M240" s="1"/>
      <c r="N240" s="1"/>
      <c r="O240" s="1"/>
      <c r="P240" s="311"/>
      <c r="Q240" s="1"/>
      <c r="R240" s="1"/>
      <c r="S240" s="1"/>
      <c r="T240" s="1"/>
      <c r="U240" s="1"/>
    </row>
    <row r="241" spans="1:34" ht="15.75" customHeight="1" thickBot="1">
      <c r="A241" s="1"/>
      <c r="B241" s="647" t="s">
        <v>360</v>
      </c>
      <c r="C241" s="648"/>
      <c r="D241" s="648"/>
      <c r="E241" s="648"/>
      <c r="F241" s="649"/>
      <c r="G241" s="342"/>
      <c r="H241" s="342"/>
      <c r="I241" s="342"/>
      <c r="J241" s="342"/>
      <c r="K241" s="342"/>
      <c r="L241" s="342"/>
      <c r="M241" s="342"/>
      <c r="N241" s="342"/>
      <c r="O241" s="342"/>
      <c r="P241" s="311"/>
      <c r="Q241" s="1"/>
      <c r="R241" s="1"/>
      <c r="S241" s="1"/>
      <c r="T241" s="1"/>
      <c r="U241" s="1"/>
    </row>
    <row r="242" spans="1:34" ht="15.75" customHeight="1" thickBo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AC242" s="6"/>
      <c r="AD242" s="6"/>
      <c r="AE242" s="6"/>
      <c r="AF242" s="6"/>
      <c r="AG242" s="6"/>
      <c r="AH242" s="6"/>
    </row>
    <row r="243" spans="1:34" ht="15.75" customHeight="1" thickBot="1">
      <c r="A243" s="644" t="s">
        <v>361</v>
      </c>
      <c r="B243" s="645"/>
      <c r="C243" s="645"/>
      <c r="D243" s="645"/>
      <c r="E243" s="645"/>
      <c r="F243" s="645"/>
      <c r="G243" s="646"/>
      <c r="H243" s="310"/>
      <c r="I243" s="310"/>
      <c r="J243" s="310"/>
      <c r="K243" s="310"/>
      <c r="L243" s="310"/>
      <c r="M243" s="310"/>
      <c r="N243" s="310"/>
      <c r="O243" s="310"/>
      <c r="P243" s="1"/>
      <c r="Q243" s="1"/>
      <c r="R243" s="1"/>
    </row>
    <row r="244" spans="1:34" ht="15.75" customHeight="1">
      <c r="A244" s="1"/>
      <c r="B244" s="1"/>
      <c r="C244" s="1"/>
      <c r="D244" s="1"/>
      <c r="E244" s="1"/>
      <c r="F244" s="1"/>
      <c r="G244" s="1"/>
      <c r="H244" s="1"/>
      <c r="I244" s="1"/>
      <c r="J244" s="1"/>
      <c r="K244" s="1"/>
      <c r="L244" s="1"/>
      <c r="M244" s="1"/>
      <c r="N244" s="1"/>
      <c r="O244" s="1"/>
      <c r="P244" s="311"/>
      <c r="Q244" s="1"/>
      <c r="R244" s="1"/>
      <c r="S244" s="1"/>
      <c r="T244" s="1"/>
      <c r="U244" s="1"/>
    </row>
    <row r="245" spans="1:34" ht="15.75" customHeight="1" thickBot="1">
      <c r="A245" s="1"/>
      <c r="B245" s="1"/>
      <c r="C245" s="1"/>
      <c r="D245" s="1"/>
      <c r="E245" s="1"/>
      <c r="F245" s="1"/>
      <c r="G245" s="1"/>
      <c r="H245" s="1"/>
      <c r="I245" s="1"/>
      <c r="J245" s="1"/>
      <c r="K245" s="1"/>
      <c r="L245" s="1"/>
      <c r="M245" s="1"/>
      <c r="N245" s="1"/>
      <c r="O245" s="1"/>
      <c r="P245" s="311"/>
      <c r="Q245" s="1"/>
      <c r="R245" s="1"/>
      <c r="S245" s="1"/>
      <c r="T245" s="1"/>
      <c r="U245" s="1"/>
    </row>
    <row r="246" spans="1:34" ht="15.75" customHeight="1" thickBot="1">
      <c r="A246" s="1"/>
      <c r="B246" s="1"/>
      <c r="C246" s="343" t="s">
        <v>139</v>
      </c>
      <c r="D246" s="344" t="s">
        <v>148</v>
      </c>
      <c r="E246" s="345" t="s">
        <v>362</v>
      </c>
      <c r="F246" s="346" t="s">
        <v>188</v>
      </c>
      <c r="G246" s="1"/>
      <c r="H246" s="1"/>
      <c r="I246" s="1"/>
      <c r="J246" s="1"/>
      <c r="K246" s="1"/>
      <c r="L246" s="1"/>
      <c r="M246" s="1"/>
      <c r="N246" s="1"/>
      <c r="O246" s="1"/>
      <c r="P246" s="311"/>
      <c r="Q246" s="1"/>
      <c r="R246" s="1"/>
      <c r="S246" s="1"/>
      <c r="T246" s="1"/>
      <c r="U246" s="1"/>
    </row>
    <row r="247" spans="1:34" ht="15.75" customHeight="1">
      <c r="A247" s="1"/>
      <c r="B247" s="347" t="s">
        <v>339</v>
      </c>
      <c r="C247" s="348">
        <f>SUMIF(E15:E27,"recyclables",F15:F27)</f>
        <v>3.77</v>
      </c>
      <c r="D247" s="349">
        <f>SUMIF(E35:E221,"recyclables",F35:F221)</f>
        <v>0</v>
      </c>
      <c r="E247" s="349">
        <f>SUMIF(E226:E237,"recyclables",F226:F237)</f>
        <v>0</v>
      </c>
      <c r="F247" s="350">
        <f t="shared" ref="F247:F253" si="0">SUM(C247:E247)</f>
        <v>3.77</v>
      </c>
      <c r="G247" s="1"/>
      <c r="H247" s="1"/>
      <c r="I247" s="1"/>
      <c r="J247" s="1"/>
      <c r="K247" s="1"/>
      <c r="L247" s="1"/>
      <c r="M247" s="1"/>
      <c r="N247" s="1"/>
      <c r="O247" s="1"/>
      <c r="P247" s="311"/>
      <c r="Q247" s="1"/>
      <c r="R247" s="1"/>
      <c r="S247" s="1"/>
      <c r="T247" s="1"/>
      <c r="U247" s="1"/>
    </row>
    <row r="248" spans="1:34" ht="15.75" customHeight="1">
      <c r="A248" s="1"/>
      <c r="B248" s="351" t="s">
        <v>342</v>
      </c>
      <c r="C248" s="352">
        <f>SUMIF(E15:E27,"verre",F15:F27)</f>
        <v>0</v>
      </c>
      <c r="D248" s="353">
        <f>SUMIF(E35:E221,"verre",F35:F221)</f>
        <v>0</v>
      </c>
      <c r="E248" s="353">
        <f>SUMIF(E226:E237,"verre",F226:F237)</f>
        <v>6.35</v>
      </c>
      <c r="F248" s="354">
        <f t="shared" si="0"/>
        <v>6.35</v>
      </c>
      <c r="G248" s="1"/>
      <c r="H248" s="1"/>
      <c r="I248" s="1"/>
      <c r="J248" s="1"/>
      <c r="K248" s="1"/>
      <c r="L248" s="1"/>
      <c r="M248" s="1"/>
      <c r="N248" s="1"/>
      <c r="O248" s="1"/>
      <c r="P248" s="311"/>
      <c r="Q248" s="1"/>
      <c r="R248" s="1"/>
      <c r="S248" s="1"/>
      <c r="T248" s="1"/>
      <c r="U248" s="1"/>
    </row>
    <row r="249" spans="1:34" ht="15.75" customHeight="1">
      <c r="A249" s="1"/>
      <c r="B249" s="351" t="s">
        <v>344</v>
      </c>
      <c r="C249" s="352">
        <f>SUMIF(E15:E27,"alimentaires",F15:F27)</f>
        <v>0</v>
      </c>
      <c r="D249" s="353">
        <f>SUMIF(E35:E221,"alimentaires",F35:F221)</f>
        <v>9.9600000000000009</v>
      </c>
      <c r="E249" s="353">
        <f>SUMIF(E226:E237,"alimentaires",F226:F237)</f>
        <v>0</v>
      </c>
      <c r="F249" s="354">
        <f t="shared" si="0"/>
        <v>9.9600000000000009</v>
      </c>
      <c r="G249" s="1"/>
      <c r="H249" s="1"/>
      <c r="I249" s="1"/>
      <c r="J249" s="1"/>
      <c r="K249" s="1"/>
      <c r="L249" s="1"/>
      <c r="M249" s="1"/>
      <c r="N249" s="1"/>
      <c r="O249" s="1"/>
      <c r="P249" s="311"/>
      <c r="Q249" s="1"/>
      <c r="R249" s="1"/>
      <c r="S249" s="1"/>
      <c r="T249" s="1"/>
      <c r="U249" s="1"/>
    </row>
    <row r="250" spans="1:34" ht="15.75" customHeight="1">
      <c r="A250" s="1"/>
      <c r="B250" s="351" t="s">
        <v>341</v>
      </c>
      <c r="C250" s="355">
        <f>SUMIF(E15:E27,"DIB - tout-venants",F15:F27)</f>
        <v>0</v>
      </c>
      <c r="D250" s="326">
        <f>SUMIF(E35:E221,"DIB - tout-venants",F35:F221)</f>
        <v>16.11</v>
      </c>
      <c r="E250" s="326">
        <f>SUMIF(E226:E237,"DIB - tout-venants",F226:F237)</f>
        <v>0</v>
      </c>
      <c r="F250" s="354">
        <f t="shared" si="0"/>
        <v>16.11</v>
      </c>
      <c r="G250" s="1"/>
      <c r="H250" s="1"/>
      <c r="I250" s="1"/>
      <c r="J250" s="1"/>
      <c r="K250" s="1"/>
      <c r="L250" s="1"/>
      <c r="M250" s="1"/>
      <c r="N250" s="1"/>
      <c r="O250" s="1"/>
      <c r="P250" s="311"/>
      <c r="Q250" s="1"/>
      <c r="R250" s="1"/>
      <c r="S250" s="1"/>
      <c r="T250" s="1"/>
      <c r="U250" s="1"/>
    </row>
    <row r="251" spans="1:34" ht="15.75" customHeight="1">
      <c r="A251" s="1"/>
      <c r="B251" s="351" t="s">
        <v>343</v>
      </c>
      <c r="C251" s="355">
        <f>SUMIF(E15:E27,"Bois - déco",F15:F27)</f>
        <v>0</v>
      </c>
      <c r="D251" s="326">
        <f>SUMIF(E35:E221,"Bois - déco",F35:F221)</f>
        <v>0</v>
      </c>
      <c r="E251" s="326">
        <f>SUMIF(E226:E237,"Bois - déco",F226:F237)</f>
        <v>0</v>
      </c>
      <c r="F251" s="354">
        <f t="shared" si="0"/>
        <v>0</v>
      </c>
      <c r="G251" s="1"/>
      <c r="H251" s="1"/>
      <c r="I251" s="1"/>
      <c r="J251" s="1"/>
      <c r="K251" s="1"/>
      <c r="L251" s="1"/>
      <c r="M251" s="1"/>
      <c r="N251" s="1"/>
      <c r="O251" s="1"/>
      <c r="P251" s="311"/>
      <c r="Q251" s="1"/>
      <c r="R251" s="1"/>
      <c r="S251" s="1"/>
      <c r="T251" s="1"/>
      <c r="U251" s="1"/>
    </row>
    <row r="252" spans="1:34" ht="15.75" customHeight="1">
      <c r="A252" s="1"/>
      <c r="B252" s="351" t="s">
        <v>346</v>
      </c>
      <c r="C252" s="355">
        <f>SUMIF(E15:E27,"Métal - déco",F15:F27)</f>
        <v>0</v>
      </c>
      <c r="D252" s="326">
        <f>SUMIF(E43:E221,"Métal - déco",F35:F221)</f>
        <v>0</v>
      </c>
      <c r="E252" s="326">
        <f>SUMIF(E226:E237,"Métal - déco",F226:F237)</f>
        <v>0</v>
      </c>
      <c r="F252" s="354">
        <f t="shared" si="0"/>
        <v>0</v>
      </c>
      <c r="G252" s="1"/>
      <c r="H252" s="1"/>
      <c r="I252" s="1"/>
      <c r="J252" s="1"/>
      <c r="K252" s="1"/>
      <c r="L252" s="1"/>
      <c r="M252" s="1"/>
      <c r="N252" s="1"/>
      <c r="O252" s="1"/>
      <c r="P252" s="311"/>
      <c r="Q252" s="1"/>
      <c r="R252" s="1"/>
      <c r="S252" s="1"/>
      <c r="T252" s="1"/>
      <c r="U252" s="1"/>
    </row>
    <row r="253" spans="1:34" ht="15.75" customHeight="1">
      <c r="A253" s="1"/>
      <c r="B253" s="351" t="s">
        <v>347</v>
      </c>
      <c r="C253" s="355">
        <f>SUMIF(E15:E27,"Plastiques - déco",F15:F27)</f>
        <v>0</v>
      </c>
      <c r="D253" s="326">
        <f>SUMIF(E43:E221,"Plastiques - déco",F35:F221)</f>
        <v>0</v>
      </c>
      <c r="E253" s="326">
        <f>SUMIF(E226:E237,"plastiques - déco",F226:F237)</f>
        <v>0</v>
      </c>
      <c r="F253" s="354">
        <f t="shared" si="0"/>
        <v>0</v>
      </c>
      <c r="G253" s="1"/>
      <c r="H253" s="1"/>
      <c r="I253" s="1"/>
      <c r="J253" s="1"/>
      <c r="K253" s="1"/>
      <c r="L253" s="1"/>
      <c r="M253" s="1"/>
      <c r="N253" s="1"/>
      <c r="O253" s="1"/>
      <c r="P253" s="311"/>
      <c r="Q253" s="1"/>
      <c r="R253" s="1"/>
      <c r="S253" s="1"/>
      <c r="T253" s="1"/>
      <c r="U253" s="1"/>
    </row>
    <row r="254" spans="1:34" ht="15.75" customHeight="1" thickBot="1">
      <c r="A254" s="1"/>
      <c r="B254" s="351" t="s">
        <v>348</v>
      </c>
      <c r="C254" s="356">
        <f>SUMIF(E15:E27,"Déchets spéciaux",F15:F27)</f>
        <v>0</v>
      </c>
      <c r="D254" s="357">
        <f>SUMIF(E35:E221,"Déchets spéciaux",F35:F221)</f>
        <v>0</v>
      </c>
      <c r="E254" s="357">
        <f>SUMIF(E227:E240,"déchets spéciaux",F227:F240)</f>
        <v>0</v>
      </c>
      <c r="F254" s="354">
        <f>SUM(C254:E254)+F229</f>
        <v>0</v>
      </c>
      <c r="G254" s="1"/>
      <c r="H254" s="1"/>
      <c r="I254" s="1"/>
      <c r="J254" s="1"/>
      <c r="K254" s="1"/>
      <c r="L254" s="1"/>
      <c r="M254" s="1"/>
      <c r="N254" s="1"/>
      <c r="O254" s="1"/>
      <c r="P254" s="311"/>
      <c r="Q254" s="1"/>
      <c r="R254" s="1"/>
      <c r="S254" s="1"/>
      <c r="T254" s="1"/>
      <c r="U254" s="1"/>
    </row>
    <row r="255" spans="1:34" ht="15.75" customHeight="1" thickBot="1">
      <c r="A255" s="1"/>
      <c r="B255" s="358" t="s">
        <v>188</v>
      </c>
      <c r="C255" s="359">
        <f t="shared" ref="C255:F255" si="1">SUM(C247:C254)</f>
        <v>3.77</v>
      </c>
      <c r="D255" s="360">
        <f t="shared" si="1"/>
        <v>26.07</v>
      </c>
      <c r="E255" s="360">
        <f t="shared" si="1"/>
        <v>6.35</v>
      </c>
      <c r="F255" s="361">
        <f t="shared" si="1"/>
        <v>36.19</v>
      </c>
      <c r="G255" s="1"/>
      <c r="H255" s="1"/>
      <c r="I255" s="1"/>
      <c r="J255" s="1"/>
      <c r="K255" s="1"/>
      <c r="L255" s="1"/>
      <c r="M255" s="1"/>
      <c r="N255" s="1"/>
      <c r="O255" s="1"/>
      <c r="P255" s="311"/>
      <c r="Q255" s="1"/>
      <c r="R255" s="1"/>
      <c r="S255" s="1"/>
      <c r="T255" s="1"/>
      <c r="U255" s="1"/>
    </row>
    <row r="256" spans="1:34" ht="15.75" customHeight="1">
      <c r="A256" s="1"/>
      <c r="B256" s="1"/>
      <c r="C256" s="1"/>
      <c r="D256" s="1"/>
      <c r="E256" s="1"/>
      <c r="F256" s="1"/>
      <c r="G256" s="1"/>
      <c r="H256" s="1"/>
      <c r="I256" s="1"/>
      <c r="J256" s="1"/>
      <c r="K256" s="1"/>
      <c r="L256" s="1"/>
      <c r="M256" s="1"/>
      <c r="N256" s="1"/>
      <c r="O256" s="1"/>
      <c r="P256" s="311"/>
      <c r="Q256" s="1"/>
      <c r="R256" s="1"/>
      <c r="S256" s="1"/>
      <c r="T256" s="1"/>
      <c r="U256" s="1"/>
    </row>
    <row r="257" spans="1:21" ht="15.75" customHeight="1">
      <c r="A257" s="1"/>
      <c r="B257" s="1"/>
      <c r="C257" s="1"/>
      <c r="D257" s="1"/>
      <c r="E257" s="1"/>
      <c r="F257" s="1"/>
      <c r="G257" s="1"/>
      <c r="H257" s="1"/>
      <c r="I257" s="1"/>
      <c r="J257" s="1"/>
      <c r="K257" s="1"/>
      <c r="L257" s="1"/>
      <c r="M257" s="1"/>
      <c r="N257" s="1"/>
      <c r="O257" s="1"/>
      <c r="P257" s="311"/>
      <c r="Q257" s="1"/>
      <c r="R257" s="1"/>
      <c r="S257" s="1"/>
      <c r="T257" s="1"/>
      <c r="U257" s="1"/>
    </row>
    <row r="258" spans="1:21" ht="15.75" customHeight="1">
      <c r="A258" s="1"/>
      <c r="B258" s="1"/>
      <c r="C258" s="1"/>
      <c r="D258" s="1"/>
      <c r="E258" s="1"/>
      <c r="F258" s="1"/>
      <c r="G258" s="1"/>
      <c r="H258" s="1"/>
      <c r="I258" s="1"/>
      <c r="J258" s="1"/>
      <c r="K258" s="1"/>
      <c r="L258" s="1"/>
      <c r="M258" s="1"/>
      <c r="N258" s="1"/>
      <c r="O258" s="1"/>
      <c r="P258" s="311"/>
      <c r="Q258" s="1"/>
      <c r="R258" s="1"/>
      <c r="S258" s="1"/>
      <c r="T258" s="1"/>
      <c r="U258" s="1"/>
    </row>
    <row r="259" spans="1:21" ht="15.75" customHeight="1">
      <c r="A259" s="1"/>
      <c r="B259" s="1"/>
      <c r="C259" s="1"/>
      <c r="D259" s="1"/>
      <c r="E259" s="1"/>
      <c r="F259" s="1"/>
      <c r="G259" s="1"/>
      <c r="H259" s="1"/>
      <c r="I259" s="1"/>
      <c r="J259" s="1"/>
      <c r="K259" s="1"/>
      <c r="L259" s="1"/>
      <c r="M259" s="1"/>
      <c r="N259" s="1"/>
      <c r="O259" s="1"/>
      <c r="P259" s="311"/>
      <c r="Q259" s="1"/>
      <c r="R259" s="1"/>
      <c r="S259" s="1"/>
      <c r="T259" s="1"/>
      <c r="U259" s="1"/>
    </row>
    <row r="260" spans="1:21" ht="15.75" customHeight="1">
      <c r="A260" s="1"/>
      <c r="B260" s="1"/>
      <c r="C260" s="1"/>
      <c r="D260" s="1"/>
      <c r="E260" s="1"/>
      <c r="F260" s="1"/>
      <c r="G260" s="1"/>
      <c r="H260" s="1"/>
      <c r="I260" s="1"/>
      <c r="J260" s="1"/>
      <c r="K260" s="1"/>
      <c r="L260" s="1"/>
      <c r="M260" s="1"/>
      <c r="N260" s="1"/>
      <c r="O260" s="1"/>
      <c r="P260" s="311"/>
      <c r="Q260" s="1"/>
      <c r="R260" s="1"/>
      <c r="S260" s="1"/>
      <c r="T260" s="1"/>
      <c r="U260" s="1"/>
    </row>
    <row r="261" spans="1:21" ht="15.75" customHeight="1">
      <c r="A261" s="1"/>
      <c r="B261" s="1"/>
      <c r="C261" s="1"/>
      <c r="D261" s="1"/>
      <c r="E261" s="1"/>
      <c r="F261" s="1"/>
      <c r="G261" s="1"/>
      <c r="H261" s="1"/>
      <c r="I261" s="1"/>
      <c r="J261" s="1"/>
      <c r="K261" s="1"/>
      <c r="L261" s="1"/>
      <c r="M261" s="1"/>
      <c r="N261" s="1"/>
      <c r="O261" s="1"/>
      <c r="P261" s="311"/>
      <c r="Q261" s="1"/>
      <c r="R261" s="1"/>
      <c r="S261" s="1"/>
      <c r="T261" s="1"/>
      <c r="U261" s="1"/>
    </row>
    <row r="262" spans="1:21" ht="15.75" customHeight="1">
      <c r="A262" s="1"/>
      <c r="B262" s="1"/>
      <c r="C262" s="1"/>
      <c r="D262" s="1"/>
      <c r="E262" s="1"/>
      <c r="F262" s="1"/>
      <c r="G262" s="1"/>
      <c r="H262" s="1"/>
      <c r="I262" s="1"/>
      <c r="J262" s="1"/>
      <c r="K262" s="1"/>
      <c r="L262" s="1"/>
      <c r="M262" s="1"/>
      <c r="N262" s="1"/>
      <c r="O262" s="1"/>
      <c r="P262" s="311"/>
      <c r="Q262" s="1"/>
      <c r="R262" s="1"/>
      <c r="S262" s="1"/>
      <c r="T262" s="1"/>
      <c r="U262" s="1"/>
    </row>
    <row r="263" spans="1:21" ht="15.75" customHeight="1">
      <c r="A263" s="1"/>
      <c r="B263" s="1"/>
      <c r="C263" s="1"/>
      <c r="D263" s="1"/>
      <c r="E263" s="1"/>
      <c r="F263" s="1"/>
      <c r="G263" s="1"/>
      <c r="H263" s="1"/>
      <c r="I263" s="1"/>
      <c r="J263" s="1"/>
      <c r="K263" s="1"/>
      <c r="L263" s="1"/>
      <c r="M263" s="1"/>
      <c r="N263" s="1"/>
      <c r="O263" s="1"/>
      <c r="P263" s="311"/>
      <c r="Q263" s="1"/>
      <c r="R263" s="1"/>
      <c r="S263" s="1"/>
      <c r="T263" s="1"/>
      <c r="U263" s="1"/>
    </row>
    <row r="264" spans="1:21" ht="15.75" customHeight="1">
      <c r="A264" s="1"/>
      <c r="B264" s="1"/>
      <c r="C264" s="1"/>
      <c r="D264" s="1"/>
      <c r="E264" s="1"/>
      <c r="F264" s="1"/>
      <c r="G264" s="1"/>
      <c r="H264" s="1"/>
      <c r="I264" s="1"/>
      <c r="J264" s="1"/>
      <c r="K264" s="1"/>
      <c r="L264" s="1"/>
      <c r="M264" s="1"/>
      <c r="N264" s="1"/>
      <c r="O264" s="1"/>
      <c r="P264" s="311"/>
      <c r="Q264" s="1"/>
      <c r="R264" s="1"/>
      <c r="S264" s="1"/>
      <c r="T264" s="1"/>
      <c r="U264" s="1"/>
    </row>
    <row r="265" spans="1:21" ht="15.75" customHeight="1">
      <c r="A265" s="1"/>
      <c r="B265" s="1"/>
      <c r="C265" s="1"/>
      <c r="D265" s="1"/>
      <c r="E265" s="1"/>
      <c r="F265" s="1"/>
      <c r="G265" s="1"/>
      <c r="H265" s="1"/>
      <c r="I265" s="1"/>
      <c r="J265" s="1"/>
      <c r="K265" s="1"/>
      <c r="L265" s="1"/>
      <c r="M265" s="1"/>
      <c r="N265" s="1"/>
      <c r="O265" s="1"/>
      <c r="P265" s="311"/>
      <c r="Q265" s="1"/>
      <c r="R265" s="1"/>
      <c r="S265" s="1"/>
      <c r="T265" s="1"/>
      <c r="U265" s="1"/>
    </row>
    <row r="266" spans="1:21" ht="15.75" customHeight="1">
      <c r="A266" s="1"/>
      <c r="B266" s="1"/>
      <c r="C266" s="1"/>
      <c r="D266" s="1"/>
      <c r="E266" s="1"/>
      <c r="F266" s="1"/>
      <c r="G266" s="1"/>
      <c r="H266" s="1"/>
      <c r="I266" s="1"/>
      <c r="J266" s="1"/>
      <c r="K266" s="1"/>
      <c r="L266" s="1"/>
      <c r="M266" s="1"/>
      <c r="N266" s="1"/>
      <c r="O266" s="1"/>
      <c r="P266" s="311"/>
      <c r="Q266" s="1"/>
      <c r="R266" s="1"/>
      <c r="S266" s="1"/>
      <c r="T266" s="1"/>
      <c r="U266" s="1"/>
    </row>
    <row r="267" spans="1:21" ht="15.75" customHeight="1">
      <c r="A267" s="1"/>
      <c r="B267" s="1"/>
      <c r="C267" s="1"/>
      <c r="D267" s="1"/>
      <c r="E267" s="1"/>
      <c r="F267" s="1"/>
      <c r="G267" s="1"/>
      <c r="H267" s="1"/>
      <c r="I267" s="1"/>
      <c r="J267" s="1"/>
      <c r="K267" s="1"/>
      <c r="L267" s="1"/>
      <c r="M267" s="1"/>
      <c r="N267" s="1"/>
      <c r="O267" s="1"/>
      <c r="P267" s="311"/>
      <c r="Q267" s="1"/>
      <c r="R267" s="1"/>
      <c r="S267" s="1"/>
      <c r="T267" s="1"/>
      <c r="U267" s="1"/>
    </row>
    <row r="268" spans="1:21" ht="15.75" customHeight="1">
      <c r="A268" s="1"/>
      <c r="B268" s="1"/>
      <c r="C268" s="1"/>
      <c r="D268" s="1"/>
      <c r="E268" s="1"/>
      <c r="F268" s="1"/>
      <c r="G268" s="1"/>
      <c r="H268" s="1"/>
      <c r="I268" s="1"/>
      <c r="J268" s="1"/>
      <c r="K268" s="1"/>
      <c r="L268" s="1"/>
      <c r="M268" s="1"/>
      <c r="N268" s="1"/>
      <c r="O268" s="1"/>
      <c r="P268" s="311"/>
      <c r="Q268" s="1"/>
      <c r="R268" s="1"/>
      <c r="S268" s="1"/>
      <c r="T268" s="1"/>
      <c r="U268" s="1"/>
    </row>
    <row r="269" spans="1:21" ht="15.75" customHeight="1">
      <c r="A269" s="1"/>
      <c r="B269" s="1"/>
      <c r="C269" s="1"/>
      <c r="D269" s="1"/>
      <c r="E269" s="1"/>
      <c r="F269" s="1"/>
      <c r="G269" s="1"/>
      <c r="H269" s="1"/>
      <c r="I269" s="1"/>
      <c r="J269" s="1"/>
      <c r="K269" s="1"/>
      <c r="L269" s="1"/>
      <c r="M269" s="1"/>
      <c r="N269" s="1"/>
      <c r="O269" s="1"/>
      <c r="P269" s="311"/>
      <c r="Q269" s="1"/>
      <c r="R269" s="1"/>
      <c r="S269" s="1"/>
      <c r="T269" s="1"/>
      <c r="U269" s="1"/>
    </row>
    <row r="270" spans="1:21" ht="15.75" customHeight="1">
      <c r="A270" s="1"/>
      <c r="B270" s="1"/>
      <c r="C270" s="1"/>
      <c r="D270" s="1"/>
      <c r="E270" s="1"/>
      <c r="F270" s="1"/>
      <c r="G270" s="1"/>
      <c r="H270" s="1"/>
      <c r="I270" s="1"/>
      <c r="J270" s="1"/>
      <c r="K270" s="1"/>
      <c r="L270" s="1"/>
      <c r="M270" s="1"/>
      <c r="N270" s="1"/>
      <c r="O270" s="1"/>
      <c r="P270" s="311"/>
      <c r="Q270" s="1"/>
      <c r="R270" s="1"/>
      <c r="S270" s="1"/>
      <c r="T270" s="1"/>
      <c r="U270" s="1"/>
    </row>
    <row r="271" spans="1:21" ht="15.75" customHeight="1">
      <c r="A271" s="1"/>
      <c r="B271" s="1"/>
      <c r="C271" s="1"/>
      <c r="D271" s="1"/>
      <c r="E271" s="1"/>
      <c r="F271" s="1"/>
      <c r="G271" s="1"/>
      <c r="H271" s="1"/>
      <c r="I271" s="1"/>
      <c r="J271" s="1"/>
      <c r="K271" s="1"/>
      <c r="L271" s="1"/>
      <c r="M271" s="1"/>
      <c r="N271" s="1"/>
      <c r="O271" s="1"/>
      <c r="P271" s="311"/>
      <c r="Q271" s="1"/>
      <c r="R271" s="1"/>
      <c r="S271" s="1"/>
      <c r="T271" s="1"/>
      <c r="U271" s="1"/>
    </row>
    <row r="272" spans="1:21" ht="15.75" customHeight="1">
      <c r="A272" s="1"/>
      <c r="B272" s="1"/>
      <c r="C272" s="1"/>
      <c r="D272" s="1"/>
      <c r="E272" s="1"/>
      <c r="F272" s="1"/>
      <c r="G272" s="1"/>
      <c r="H272" s="1"/>
      <c r="I272" s="1"/>
      <c r="J272" s="1"/>
      <c r="K272" s="1"/>
      <c r="L272" s="1"/>
      <c r="M272" s="1"/>
      <c r="N272" s="1"/>
      <c r="O272" s="1"/>
      <c r="P272" s="311"/>
      <c r="Q272" s="1"/>
      <c r="R272" s="1"/>
      <c r="S272" s="1"/>
      <c r="T272" s="1"/>
      <c r="U272" s="1"/>
    </row>
    <row r="273" spans="1:21" ht="15.75" customHeight="1">
      <c r="A273" s="1"/>
      <c r="B273" s="1"/>
      <c r="C273" s="1"/>
      <c r="D273" s="1"/>
      <c r="E273" s="1"/>
      <c r="F273" s="1"/>
      <c r="G273" s="1"/>
      <c r="H273" s="1"/>
      <c r="I273" s="1"/>
      <c r="J273" s="1"/>
      <c r="K273" s="1"/>
      <c r="L273" s="1"/>
      <c r="M273" s="1"/>
      <c r="N273" s="1"/>
      <c r="O273" s="1"/>
      <c r="P273" s="311"/>
      <c r="Q273" s="1"/>
      <c r="R273" s="1"/>
      <c r="S273" s="1"/>
      <c r="T273" s="1"/>
      <c r="U273" s="1"/>
    </row>
    <row r="274" spans="1:21" ht="15.75" customHeight="1">
      <c r="A274" s="1"/>
      <c r="B274" s="1"/>
      <c r="C274" s="1"/>
      <c r="D274" s="1"/>
      <c r="E274" s="1"/>
      <c r="F274" s="1"/>
      <c r="G274" s="1"/>
      <c r="H274" s="1"/>
      <c r="I274" s="1"/>
      <c r="J274" s="1"/>
      <c r="K274" s="1"/>
      <c r="L274" s="1"/>
      <c r="M274" s="1"/>
      <c r="N274" s="1"/>
      <c r="O274" s="1"/>
      <c r="P274" s="311"/>
      <c r="Q274" s="1"/>
      <c r="R274" s="1"/>
      <c r="S274" s="1"/>
      <c r="T274" s="1"/>
      <c r="U274" s="1"/>
    </row>
    <row r="275" spans="1:21" ht="15.75" customHeight="1">
      <c r="A275" s="1"/>
      <c r="B275" s="1"/>
      <c r="C275" s="1"/>
      <c r="D275" s="1"/>
      <c r="E275" s="1"/>
      <c r="F275" s="1"/>
      <c r="G275" s="1"/>
      <c r="H275" s="1"/>
      <c r="I275" s="1"/>
      <c r="J275" s="1"/>
      <c r="K275" s="1"/>
      <c r="L275" s="1"/>
      <c r="M275" s="1"/>
      <c r="N275" s="1"/>
      <c r="O275" s="1"/>
      <c r="P275" s="311"/>
      <c r="Q275" s="1"/>
      <c r="R275" s="1"/>
      <c r="S275" s="1"/>
      <c r="T275" s="1"/>
      <c r="U275" s="1"/>
    </row>
    <row r="276" spans="1:21" ht="15.75" customHeight="1">
      <c r="A276" s="1"/>
      <c r="B276" s="1"/>
      <c r="C276" s="1"/>
      <c r="D276" s="1"/>
      <c r="E276" s="1"/>
      <c r="F276" s="1"/>
      <c r="G276" s="1"/>
      <c r="H276" s="1"/>
      <c r="I276" s="1"/>
      <c r="J276" s="1"/>
      <c r="K276" s="1"/>
      <c r="L276" s="1"/>
      <c r="M276" s="1"/>
      <c r="N276" s="1"/>
      <c r="O276" s="1"/>
      <c r="P276" s="311"/>
      <c r="Q276" s="1"/>
      <c r="R276" s="1"/>
      <c r="S276" s="1"/>
      <c r="T276" s="1"/>
      <c r="U276" s="1"/>
    </row>
    <row r="277" spans="1:21" ht="15.75" customHeight="1">
      <c r="A277" s="1"/>
      <c r="B277" s="1"/>
      <c r="C277" s="1"/>
      <c r="D277" s="1"/>
      <c r="E277" s="1"/>
      <c r="F277" s="1"/>
      <c r="G277" s="1"/>
      <c r="H277" s="1"/>
      <c r="I277" s="1"/>
      <c r="J277" s="1"/>
      <c r="K277" s="1"/>
      <c r="L277" s="1"/>
      <c r="M277" s="1"/>
      <c r="N277" s="1"/>
      <c r="O277" s="1"/>
      <c r="P277" s="311"/>
      <c r="Q277" s="1"/>
      <c r="R277" s="1"/>
      <c r="S277" s="1"/>
      <c r="T277" s="1"/>
      <c r="U277" s="1"/>
    </row>
    <row r="278" spans="1:21" ht="15.75" customHeight="1">
      <c r="A278" s="1"/>
      <c r="B278" s="1"/>
      <c r="C278" s="1"/>
      <c r="D278" s="1"/>
      <c r="E278" s="1"/>
      <c r="F278" s="1"/>
      <c r="G278" s="1"/>
      <c r="H278" s="1"/>
      <c r="I278" s="1"/>
      <c r="J278" s="1"/>
      <c r="K278" s="1"/>
      <c r="L278" s="1"/>
      <c r="M278" s="1"/>
      <c r="N278" s="1"/>
      <c r="O278" s="1"/>
      <c r="P278" s="311"/>
      <c r="Q278" s="1"/>
      <c r="R278" s="1"/>
      <c r="S278" s="1"/>
      <c r="T278" s="1"/>
      <c r="U278" s="1"/>
    </row>
    <row r="279" spans="1:21" ht="15.75" customHeight="1">
      <c r="A279" s="1"/>
      <c r="B279" s="1"/>
      <c r="C279" s="1"/>
      <c r="D279" s="1"/>
      <c r="E279" s="1"/>
      <c r="F279" s="1"/>
      <c r="G279" s="1"/>
      <c r="H279" s="1"/>
      <c r="I279" s="1"/>
      <c r="J279" s="1"/>
      <c r="K279" s="1"/>
      <c r="L279" s="1"/>
      <c r="M279" s="1"/>
      <c r="N279" s="1"/>
      <c r="O279" s="1"/>
      <c r="P279" s="311"/>
      <c r="Q279" s="1"/>
      <c r="R279" s="1"/>
      <c r="S279" s="1"/>
      <c r="T279" s="1"/>
      <c r="U279" s="1"/>
    </row>
    <row r="280" spans="1:21" ht="15.75" customHeight="1">
      <c r="A280" s="1"/>
      <c r="B280" s="1"/>
      <c r="C280" s="1"/>
      <c r="D280" s="1"/>
      <c r="E280" s="1"/>
      <c r="F280" s="1"/>
      <c r="G280" s="1"/>
      <c r="H280" s="1"/>
      <c r="I280" s="1"/>
      <c r="J280" s="1"/>
      <c r="K280" s="1"/>
      <c r="L280" s="1"/>
      <c r="M280" s="1"/>
      <c r="N280" s="1"/>
      <c r="O280" s="1"/>
      <c r="P280" s="1"/>
      <c r="Q280" s="1"/>
      <c r="R280" s="1"/>
      <c r="S280" s="1"/>
      <c r="T280" s="1"/>
      <c r="U280" s="1"/>
    </row>
    <row r="281" spans="1:21" ht="15.75" customHeight="1">
      <c r="A281" s="1"/>
      <c r="B281" s="1"/>
      <c r="C281" s="1"/>
      <c r="D281" s="1"/>
      <c r="E281" s="1"/>
      <c r="F281" s="1"/>
      <c r="G281" s="1"/>
      <c r="H281" s="1"/>
      <c r="I281" s="1"/>
      <c r="J281" s="1"/>
      <c r="K281" s="1"/>
      <c r="L281" s="1"/>
      <c r="M281" s="1"/>
      <c r="N281" s="1"/>
      <c r="O281" s="1"/>
      <c r="P281" s="1"/>
      <c r="Q281" s="1"/>
      <c r="R281" s="1"/>
      <c r="S281" s="1"/>
      <c r="T281" s="1"/>
      <c r="U281" s="1"/>
    </row>
    <row r="282" spans="1:21" ht="15.75" customHeight="1">
      <c r="A282" s="1"/>
      <c r="B282" s="1"/>
      <c r="C282" s="1"/>
      <c r="D282" s="1"/>
      <c r="E282" s="1"/>
      <c r="F282" s="1"/>
      <c r="G282" s="1"/>
      <c r="H282" s="1"/>
      <c r="I282" s="1"/>
      <c r="J282" s="1"/>
      <c r="K282" s="1"/>
      <c r="L282" s="1"/>
      <c r="M282" s="1"/>
      <c r="N282" s="1"/>
      <c r="O282" s="1"/>
      <c r="P282" s="1"/>
      <c r="Q282" s="1"/>
      <c r="R282" s="1"/>
      <c r="S282" s="1"/>
      <c r="T282" s="1"/>
      <c r="U282" s="1"/>
    </row>
    <row r="283" spans="1:21" ht="15.75" customHeight="1">
      <c r="A283" s="1"/>
      <c r="B283" s="1"/>
      <c r="C283" s="1"/>
      <c r="D283" s="1"/>
      <c r="E283" s="1"/>
      <c r="F283" s="1"/>
      <c r="G283" s="1"/>
      <c r="H283" s="1"/>
      <c r="I283" s="1"/>
      <c r="J283" s="1"/>
      <c r="K283" s="1"/>
      <c r="L283" s="1"/>
      <c r="M283" s="1"/>
      <c r="N283" s="1"/>
      <c r="O283" s="1"/>
      <c r="P283" s="1"/>
      <c r="Q283" s="1"/>
      <c r="R283" s="1"/>
      <c r="S283" s="1"/>
      <c r="T283" s="1"/>
      <c r="U283" s="1"/>
    </row>
    <row r="284" spans="1:21" ht="15.75" customHeight="1">
      <c r="G284" s="158"/>
      <c r="H284" s="158"/>
      <c r="I284" s="158"/>
      <c r="J284" s="158"/>
      <c r="K284" s="158"/>
      <c r="L284" s="158"/>
      <c r="M284" s="158"/>
      <c r="N284" s="158"/>
      <c r="O284" s="158"/>
      <c r="P284" s="158"/>
    </row>
    <row r="285" spans="1:21" ht="15.75" customHeight="1">
      <c r="G285" s="158"/>
      <c r="H285" s="158"/>
      <c r="I285" s="158"/>
      <c r="J285" s="158"/>
      <c r="K285" s="158"/>
      <c r="L285" s="158"/>
      <c r="M285" s="158"/>
      <c r="N285" s="158"/>
      <c r="O285" s="158"/>
      <c r="P285" s="158"/>
    </row>
    <row r="286" spans="1:21" ht="15.75" customHeight="1">
      <c r="G286" s="158"/>
      <c r="H286" s="158"/>
      <c r="I286" s="158"/>
      <c r="J286" s="158"/>
      <c r="K286" s="158"/>
      <c r="L286" s="158"/>
      <c r="M286" s="158"/>
      <c r="N286" s="158"/>
      <c r="O286" s="158"/>
      <c r="P286" s="158"/>
    </row>
    <row r="287" spans="1:21" ht="15.75" customHeight="1">
      <c r="G287" s="158"/>
      <c r="H287" s="158"/>
      <c r="I287" s="158"/>
      <c r="J287" s="158"/>
      <c r="K287" s="158"/>
      <c r="L287" s="158"/>
      <c r="M287" s="158"/>
      <c r="N287" s="158"/>
      <c r="O287" s="158"/>
      <c r="P287" s="158"/>
    </row>
    <row r="288" spans="1:21" ht="15.75" customHeight="1">
      <c r="G288" s="158"/>
      <c r="H288" s="158"/>
      <c r="I288" s="158"/>
      <c r="J288" s="158"/>
      <c r="K288" s="158"/>
      <c r="L288" s="158"/>
      <c r="M288" s="158"/>
      <c r="N288" s="158"/>
      <c r="O288" s="158"/>
      <c r="P288" s="158"/>
    </row>
    <row r="289" spans="7:16" ht="15.75" customHeight="1">
      <c r="G289" s="158"/>
      <c r="H289" s="158"/>
      <c r="I289" s="158"/>
      <c r="J289" s="158"/>
      <c r="K289" s="158"/>
      <c r="L289" s="158"/>
      <c r="M289" s="158"/>
      <c r="N289" s="158"/>
      <c r="O289" s="158"/>
      <c r="P289" s="158"/>
    </row>
    <row r="290" spans="7:16" ht="15.75" customHeight="1">
      <c r="G290" s="158"/>
      <c r="H290" s="158"/>
      <c r="I290" s="158"/>
      <c r="J290" s="158"/>
      <c r="K290" s="158"/>
      <c r="L290" s="158"/>
      <c r="M290" s="158"/>
      <c r="N290" s="158"/>
      <c r="O290" s="158"/>
      <c r="P290" s="158"/>
    </row>
    <row r="291" spans="7:16" ht="15.75" customHeight="1">
      <c r="G291" s="158"/>
      <c r="H291" s="158"/>
      <c r="I291" s="158"/>
      <c r="J291" s="158"/>
      <c r="K291" s="158"/>
      <c r="L291" s="158"/>
      <c r="M291" s="158"/>
      <c r="N291" s="158"/>
      <c r="O291" s="158"/>
      <c r="P291" s="158"/>
    </row>
    <row r="292" spans="7:16" ht="15.75" customHeight="1">
      <c r="G292" s="158"/>
      <c r="H292" s="158"/>
      <c r="I292" s="158"/>
      <c r="J292" s="158"/>
      <c r="K292" s="158"/>
      <c r="L292" s="158"/>
      <c r="M292" s="158"/>
      <c r="N292" s="158"/>
      <c r="O292" s="158"/>
      <c r="P292" s="158"/>
    </row>
    <row r="293" spans="7:16" ht="15.75" customHeight="1">
      <c r="G293" s="158"/>
      <c r="H293" s="158"/>
      <c r="I293" s="158"/>
      <c r="J293" s="158"/>
      <c r="K293" s="158"/>
      <c r="L293" s="158"/>
      <c r="M293" s="158"/>
      <c r="N293" s="158"/>
      <c r="O293" s="158"/>
      <c r="P293" s="158"/>
    </row>
    <row r="294" spans="7:16" ht="15.75" customHeight="1">
      <c r="G294" s="158"/>
      <c r="H294" s="158"/>
      <c r="I294" s="158"/>
      <c r="J294" s="158"/>
      <c r="K294" s="158"/>
      <c r="L294" s="158"/>
      <c r="M294" s="158"/>
      <c r="N294" s="158"/>
      <c r="O294" s="158"/>
      <c r="P294" s="158"/>
    </row>
    <row r="295" spans="7:16" ht="15.75" customHeight="1">
      <c r="G295" s="158"/>
      <c r="H295" s="158"/>
      <c r="I295" s="158"/>
      <c r="J295" s="158"/>
      <c r="K295" s="158"/>
      <c r="L295" s="158"/>
      <c r="M295" s="158"/>
      <c r="N295" s="158"/>
      <c r="O295" s="158"/>
      <c r="P295" s="158"/>
    </row>
    <row r="296" spans="7:16" ht="15.75" customHeight="1">
      <c r="G296" s="158"/>
      <c r="H296" s="158"/>
      <c r="I296" s="158"/>
      <c r="J296" s="158"/>
      <c r="K296" s="158"/>
      <c r="L296" s="158"/>
      <c r="M296" s="158"/>
      <c r="N296" s="158"/>
      <c r="O296" s="158"/>
      <c r="P296" s="158"/>
    </row>
    <row r="297" spans="7:16" ht="15.75" customHeight="1">
      <c r="G297" s="158"/>
      <c r="H297" s="158"/>
      <c r="I297" s="158"/>
      <c r="J297" s="158"/>
      <c r="K297" s="158"/>
      <c r="L297" s="158"/>
      <c r="M297" s="158"/>
      <c r="N297" s="158"/>
      <c r="O297" s="158"/>
      <c r="P297" s="158"/>
    </row>
    <row r="298" spans="7:16" ht="15.75" customHeight="1">
      <c r="G298" s="158"/>
      <c r="H298" s="158"/>
      <c r="I298" s="158"/>
      <c r="J298" s="158"/>
      <c r="K298" s="158"/>
      <c r="L298" s="158"/>
      <c r="M298" s="158"/>
      <c r="N298" s="158"/>
      <c r="O298" s="158"/>
      <c r="P298" s="158"/>
    </row>
    <row r="299" spans="7:16" ht="15.75" customHeight="1">
      <c r="G299" s="158"/>
      <c r="H299" s="158"/>
      <c r="I299" s="158"/>
      <c r="J299" s="158"/>
      <c r="K299" s="158"/>
      <c r="L299" s="158"/>
      <c r="M299" s="158"/>
      <c r="N299" s="158"/>
      <c r="O299" s="158"/>
      <c r="P299" s="158"/>
    </row>
    <row r="300" spans="7:16" ht="15.75" customHeight="1">
      <c r="G300" s="158"/>
      <c r="H300" s="158"/>
      <c r="I300" s="158"/>
      <c r="J300" s="158"/>
      <c r="K300" s="158"/>
      <c r="L300" s="158"/>
      <c r="M300" s="158"/>
      <c r="N300" s="158"/>
      <c r="O300" s="158"/>
      <c r="P300" s="158"/>
    </row>
    <row r="301" spans="7:16" ht="15.75" customHeight="1">
      <c r="G301" s="158"/>
      <c r="H301" s="158"/>
      <c r="I301" s="158"/>
      <c r="J301" s="158"/>
      <c r="K301" s="158"/>
      <c r="L301" s="158"/>
      <c r="M301" s="158"/>
      <c r="N301" s="158"/>
      <c r="O301" s="158"/>
      <c r="P301" s="158"/>
    </row>
    <row r="302" spans="7:16" ht="15.75" customHeight="1">
      <c r="G302" s="158"/>
      <c r="H302" s="158"/>
      <c r="I302" s="158"/>
      <c r="J302" s="158"/>
      <c r="K302" s="158"/>
      <c r="L302" s="158"/>
      <c r="M302" s="158"/>
      <c r="N302" s="158"/>
      <c r="O302" s="158"/>
      <c r="P302" s="158"/>
    </row>
    <row r="303" spans="7:16" ht="15.75" customHeight="1">
      <c r="G303" s="158"/>
      <c r="H303" s="158"/>
      <c r="I303" s="158"/>
      <c r="J303" s="158"/>
      <c r="K303" s="158"/>
      <c r="L303" s="158"/>
      <c r="M303" s="158"/>
      <c r="N303" s="158"/>
      <c r="O303" s="158"/>
      <c r="P303" s="158"/>
    </row>
    <row r="304" spans="7:16" ht="15.75" customHeight="1">
      <c r="G304" s="158"/>
      <c r="H304" s="158"/>
      <c r="I304" s="158"/>
      <c r="J304" s="158"/>
      <c r="K304" s="158"/>
      <c r="L304" s="158"/>
      <c r="M304" s="158"/>
      <c r="N304" s="158"/>
      <c r="O304" s="158"/>
      <c r="P304" s="158"/>
    </row>
    <row r="305" spans="7:16" ht="15.75" customHeight="1">
      <c r="G305" s="158"/>
      <c r="H305" s="158"/>
      <c r="I305" s="158"/>
      <c r="J305" s="158"/>
      <c r="K305" s="158"/>
      <c r="L305" s="158"/>
      <c r="M305" s="158"/>
      <c r="N305" s="158"/>
      <c r="O305" s="158"/>
      <c r="P305" s="158"/>
    </row>
    <row r="306" spans="7:16" ht="15.75" customHeight="1"/>
    <row r="307" spans="7:16" ht="15.75" customHeight="1"/>
    <row r="308" spans="7:16" ht="15.75" customHeight="1"/>
    <row r="309" spans="7:16" ht="15.75" customHeight="1"/>
    <row r="310" spans="7:16" ht="15.75" customHeight="1"/>
    <row r="311" spans="7:16" ht="15.75" customHeight="1"/>
    <row r="312" spans="7:16" ht="15.75" customHeight="1"/>
    <row r="313" spans="7:16" ht="15.75" customHeight="1"/>
    <row r="314" spans="7:16" ht="15.75" customHeight="1"/>
    <row r="315" spans="7:16" ht="15.75" customHeight="1"/>
    <row r="316" spans="7:16" ht="15.75" customHeight="1"/>
    <row r="317" spans="7:16" ht="15.75" customHeight="1"/>
    <row r="318" spans="7:16" ht="15.75" customHeight="1"/>
    <row r="319" spans="7:16" ht="15.75" customHeight="1"/>
    <row r="320" spans="7:1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sheetData>
  <mergeCells count="345">
    <mergeCell ref="C206:C208"/>
    <mergeCell ref="D206:D208"/>
    <mergeCell ref="B199:B200"/>
    <mergeCell ref="C199:C200"/>
    <mergeCell ref="D199:D200"/>
    <mergeCell ref="B202:B204"/>
    <mergeCell ref="C202:C204"/>
    <mergeCell ref="D202:D204"/>
    <mergeCell ref="B206:B208"/>
    <mergeCell ref="K135:L135"/>
    <mergeCell ref="B119:B121"/>
    <mergeCell ref="B123:B125"/>
    <mergeCell ref="C123:C125"/>
    <mergeCell ref="D123:D125"/>
    <mergeCell ref="B127:B129"/>
    <mergeCell ref="C127:C129"/>
    <mergeCell ref="D127:D129"/>
    <mergeCell ref="C195:C197"/>
    <mergeCell ref="D195:D197"/>
    <mergeCell ref="B188:B189"/>
    <mergeCell ref="C188:C189"/>
    <mergeCell ref="D188:D189"/>
    <mergeCell ref="B191:B193"/>
    <mergeCell ref="C191:C193"/>
    <mergeCell ref="D191:D193"/>
    <mergeCell ref="B195:B197"/>
    <mergeCell ref="C172:C174"/>
    <mergeCell ref="D172:D174"/>
    <mergeCell ref="B164:B166"/>
    <mergeCell ref="C164:C166"/>
    <mergeCell ref="D164:D166"/>
    <mergeCell ref="B168:B170"/>
    <mergeCell ref="C168:C169"/>
    <mergeCell ref="B111:B113"/>
    <mergeCell ref="C111:C113"/>
    <mergeCell ref="D111:D113"/>
    <mergeCell ref="B115:B117"/>
    <mergeCell ref="C115:C117"/>
    <mergeCell ref="C119:C121"/>
    <mergeCell ref="D119:D121"/>
    <mergeCell ref="K133:L133"/>
    <mergeCell ref="K134:L134"/>
    <mergeCell ref="C103:C105"/>
    <mergeCell ref="D103:D105"/>
    <mergeCell ref="B89:B91"/>
    <mergeCell ref="C89:C91"/>
    <mergeCell ref="D89:D91"/>
    <mergeCell ref="B93:B96"/>
    <mergeCell ref="C93:C96"/>
    <mergeCell ref="D93:D96"/>
    <mergeCell ref="B103:B105"/>
    <mergeCell ref="A70:A72"/>
    <mergeCell ref="B70:B72"/>
    <mergeCell ref="C70:C72"/>
    <mergeCell ref="D70:D72"/>
    <mergeCell ref="B74:B75"/>
    <mergeCell ref="C74:C75"/>
    <mergeCell ref="D74:D75"/>
    <mergeCell ref="C85:C87"/>
    <mergeCell ref="D85:D87"/>
    <mergeCell ref="B77:B79"/>
    <mergeCell ref="C77:C79"/>
    <mergeCell ref="D77:D79"/>
    <mergeCell ref="B81:B83"/>
    <mergeCell ref="C81:C83"/>
    <mergeCell ref="D81:D83"/>
    <mergeCell ref="B85:B87"/>
    <mergeCell ref="A80:E80"/>
    <mergeCell ref="A84:E84"/>
    <mergeCell ref="A59:A61"/>
    <mergeCell ref="B59:B61"/>
    <mergeCell ref="A63:A65"/>
    <mergeCell ref="B63:B65"/>
    <mergeCell ref="C63:C65"/>
    <mergeCell ref="D63:D65"/>
    <mergeCell ref="B67:B68"/>
    <mergeCell ref="C67:C68"/>
    <mergeCell ref="D67:D68"/>
    <mergeCell ref="M45:N45"/>
    <mergeCell ref="C43:C45"/>
    <mergeCell ref="D43:D45"/>
    <mergeCell ref="C35:C37"/>
    <mergeCell ref="D35:D37"/>
    <mergeCell ref="B39:B41"/>
    <mergeCell ref="C39:C41"/>
    <mergeCell ref="D39:D41"/>
    <mergeCell ref="A43:A45"/>
    <mergeCell ref="B43:B45"/>
    <mergeCell ref="B33:F33"/>
    <mergeCell ref="B35:B37"/>
    <mergeCell ref="K28:L28"/>
    <mergeCell ref="M28:N28"/>
    <mergeCell ref="M29:N29"/>
    <mergeCell ref="M30:N30"/>
    <mergeCell ref="M31:N31"/>
    <mergeCell ref="M32:N32"/>
    <mergeCell ref="H33:J44"/>
    <mergeCell ref="H25:J28"/>
    <mergeCell ref="K33:L33"/>
    <mergeCell ref="M33:N33"/>
    <mergeCell ref="K34:L34"/>
    <mergeCell ref="M34:N34"/>
    <mergeCell ref="K43:L43"/>
    <mergeCell ref="M43:N43"/>
    <mergeCell ref="K44:L44"/>
    <mergeCell ref="M44:N44"/>
    <mergeCell ref="A38:E38"/>
    <mergeCell ref="A42:E42"/>
    <mergeCell ref="A39:A41"/>
    <mergeCell ref="A35:A37"/>
    <mergeCell ref="K23:L23"/>
    <mergeCell ref="M23:N23"/>
    <mergeCell ref="K24:L24"/>
    <mergeCell ref="M24:N24"/>
    <mergeCell ref="K22:L22"/>
    <mergeCell ref="K25:L25"/>
    <mergeCell ref="H29:J32"/>
    <mergeCell ref="K29:L29"/>
    <mergeCell ref="K30:L30"/>
    <mergeCell ref="K31:L31"/>
    <mergeCell ref="K32:L32"/>
    <mergeCell ref="M25:N25"/>
    <mergeCell ref="K26:L26"/>
    <mergeCell ref="M26:N26"/>
    <mergeCell ref="K27:L27"/>
    <mergeCell ref="M27:N27"/>
    <mergeCell ref="H21:J24"/>
    <mergeCell ref="K21:L21"/>
    <mergeCell ref="M21:N21"/>
    <mergeCell ref="M22:N22"/>
    <mergeCell ref="K13:L13"/>
    <mergeCell ref="K15:L15"/>
    <mergeCell ref="M15:N15"/>
    <mergeCell ref="K16:L16"/>
    <mergeCell ref="M16:N16"/>
    <mergeCell ref="K18:L18"/>
    <mergeCell ref="M18:N18"/>
    <mergeCell ref="A2:G2"/>
    <mergeCell ref="Q9:V9"/>
    <mergeCell ref="H11:N11"/>
    <mergeCell ref="B13:F13"/>
    <mergeCell ref="H13:J13"/>
    <mergeCell ref="M13:N13"/>
    <mergeCell ref="H15:J20"/>
    <mergeCell ref="K20:L20"/>
    <mergeCell ref="M20:N20"/>
    <mergeCell ref="C218:C220"/>
    <mergeCell ref="D218:D220"/>
    <mergeCell ref="B224:F224"/>
    <mergeCell ref="D239:E239"/>
    <mergeCell ref="B210:B212"/>
    <mergeCell ref="C210:C212"/>
    <mergeCell ref="D210:D212"/>
    <mergeCell ref="B214:B216"/>
    <mergeCell ref="C214:C216"/>
    <mergeCell ref="D214:D216"/>
    <mergeCell ref="B218:B220"/>
    <mergeCell ref="A221:E221"/>
    <mergeCell ref="C142:C144"/>
    <mergeCell ref="D142:D144"/>
    <mergeCell ref="B146:B148"/>
    <mergeCell ref="D168:D170"/>
    <mergeCell ref="B172:B174"/>
    <mergeCell ref="C159:C161"/>
    <mergeCell ref="D159:D161"/>
    <mergeCell ref="B150:B152"/>
    <mergeCell ref="C150:C152"/>
    <mergeCell ref="D150:D152"/>
    <mergeCell ref="B155:B157"/>
    <mergeCell ref="C155:C157"/>
    <mergeCell ref="D155:D157"/>
    <mergeCell ref="B159:B161"/>
    <mergeCell ref="A158:E158"/>
    <mergeCell ref="A162:E162"/>
    <mergeCell ref="A167:E167"/>
    <mergeCell ref="A171:E171"/>
    <mergeCell ref="C184:C186"/>
    <mergeCell ref="D184:D186"/>
    <mergeCell ref="B176:B178"/>
    <mergeCell ref="C176:C178"/>
    <mergeCell ref="D176:D178"/>
    <mergeCell ref="B181:B182"/>
    <mergeCell ref="C181:C182"/>
    <mergeCell ref="D181:D182"/>
    <mergeCell ref="B184:B186"/>
    <mergeCell ref="R33:V33"/>
    <mergeCell ref="R35:R37"/>
    <mergeCell ref="R39:R41"/>
    <mergeCell ref="Q43:Q45"/>
    <mergeCell ref="R43:R45"/>
    <mergeCell ref="Q47:Q50"/>
    <mergeCell ref="R47:R50"/>
    <mergeCell ref="Q52:Q54"/>
    <mergeCell ref="R52:R54"/>
    <mergeCell ref="S35:U37"/>
    <mergeCell ref="S39:U41"/>
    <mergeCell ref="S43:U45"/>
    <mergeCell ref="S47:U50"/>
    <mergeCell ref="S52:U54"/>
    <mergeCell ref="S77:U79"/>
    <mergeCell ref="S81:U83"/>
    <mergeCell ref="S85:U87"/>
    <mergeCell ref="S89:U91"/>
    <mergeCell ref="S93:U96"/>
    <mergeCell ref="S98:U98"/>
    <mergeCell ref="S99:U99"/>
    <mergeCell ref="Q73:W73"/>
    <mergeCell ref="Q76:W76"/>
    <mergeCell ref="Q80:W80"/>
    <mergeCell ref="Q84:W84"/>
    <mergeCell ref="R77:R79"/>
    <mergeCell ref="R81:R83"/>
    <mergeCell ref="R85:R87"/>
    <mergeCell ref="Q88:W88"/>
    <mergeCell ref="Q92:W92"/>
    <mergeCell ref="Q97:W97"/>
    <mergeCell ref="R89:R91"/>
    <mergeCell ref="R93:R96"/>
    <mergeCell ref="R74:R75"/>
    <mergeCell ref="Q98:Q101"/>
    <mergeCell ref="Q93:Q96"/>
    <mergeCell ref="Q89:Q91"/>
    <mergeCell ref="Q63:Q65"/>
    <mergeCell ref="R63:R65"/>
    <mergeCell ref="R67:R68"/>
    <mergeCell ref="R56:R57"/>
    <mergeCell ref="Q59:Q61"/>
    <mergeCell ref="S70:U72"/>
    <mergeCell ref="Q70:Q72"/>
    <mergeCell ref="R70:R72"/>
    <mergeCell ref="S74:U75"/>
    <mergeCell ref="A175:E175"/>
    <mergeCell ref="A179:E179"/>
    <mergeCell ref="A183:E183"/>
    <mergeCell ref="S111:U113"/>
    <mergeCell ref="S115:U117"/>
    <mergeCell ref="S119:U121"/>
    <mergeCell ref="S123:U125"/>
    <mergeCell ref="S127:U129"/>
    <mergeCell ref="S131:U131"/>
    <mergeCell ref="A140:E140"/>
    <mergeCell ref="A145:E145"/>
    <mergeCell ref="Q130:W130"/>
    <mergeCell ref="Q127:Q129"/>
    <mergeCell ref="R111:R113"/>
    <mergeCell ref="R115:R117"/>
    <mergeCell ref="R119:R121"/>
    <mergeCell ref="R123:R125"/>
    <mergeCell ref="R127:R129"/>
    <mergeCell ref="C146:C148"/>
    <mergeCell ref="D146:D148"/>
    <mergeCell ref="B137:B139"/>
    <mergeCell ref="C137:C139"/>
    <mergeCell ref="D137:D139"/>
    <mergeCell ref="B142:B144"/>
    <mergeCell ref="A46:E46"/>
    <mergeCell ref="A51:E51"/>
    <mergeCell ref="A55:E55"/>
    <mergeCell ref="A58:E58"/>
    <mergeCell ref="A62:E62"/>
    <mergeCell ref="A66:E66"/>
    <mergeCell ref="A69:E69"/>
    <mergeCell ref="A73:E73"/>
    <mergeCell ref="A76:E76"/>
    <mergeCell ref="A67:A68"/>
    <mergeCell ref="A47:A50"/>
    <mergeCell ref="B47:B50"/>
    <mergeCell ref="C47:C50"/>
    <mergeCell ref="D47:D50"/>
    <mergeCell ref="B52:B54"/>
    <mergeCell ref="C52:C54"/>
    <mergeCell ref="D52:D54"/>
    <mergeCell ref="C59:C61"/>
    <mergeCell ref="D59:D61"/>
    <mergeCell ref="A52:A54"/>
    <mergeCell ref="A56:A57"/>
    <mergeCell ref="B56:B57"/>
    <mergeCell ref="C56:C57"/>
    <mergeCell ref="D56:D57"/>
    <mergeCell ref="A88:E88"/>
    <mergeCell ref="A92:E92"/>
    <mergeCell ref="A97:E97"/>
    <mergeCell ref="A106:E106"/>
    <mergeCell ref="A243:G243"/>
    <mergeCell ref="B241:F241"/>
    <mergeCell ref="A102:E102"/>
    <mergeCell ref="A110:E110"/>
    <mergeCell ref="A114:E114"/>
    <mergeCell ref="A118:E118"/>
    <mergeCell ref="A122:E122"/>
    <mergeCell ref="A126:E126"/>
    <mergeCell ref="A130:E130"/>
    <mergeCell ref="A187:E187"/>
    <mergeCell ref="A190:E190"/>
    <mergeCell ref="A194:E194"/>
    <mergeCell ref="A198:E198"/>
    <mergeCell ref="A201:E201"/>
    <mergeCell ref="A205:E205"/>
    <mergeCell ref="A209:E209"/>
    <mergeCell ref="A213:E213"/>
    <mergeCell ref="A217:E217"/>
    <mergeCell ref="A149:E149"/>
    <mergeCell ref="A153:E153"/>
    <mergeCell ref="Q102:W102"/>
    <mergeCell ref="Q106:W106"/>
    <mergeCell ref="Q110:W110"/>
    <mergeCell ref="Q114:W114"/>
    <mergeCell ref="Q118:W118"/>
    <mergeCell ref="Q111:Q113"/>
    <mergeCell ref="Q115:Q117"/>
    <mergeCell ref="Q122:W122"/>
    <mergeCell ref="Q126:W126"/>
    <mergeCell ref="Q119:Q121"/>
    <mergeCell ref="Q123:Q125"/>
    <mergeCell ref="Q107:Q109"/>
    <mergeCell ref="Q103:Q105"/>
    <mergeCell ref="R103:R105"/>
    <mergeCell ref="S103:U105"/>
    <mergeCell ref="S107:U107"/>
    <mergeCell ref="S108:U108"/>
    <mergeCell ref="S109:U109"/>
    <mergeCell ref="Q85:Q87"/>
    <mergeCell ref="Q81:Q83"/>
    <mergeCell ref="Q77:Q79"/>
    <mergeCell ref="Q74:Q75"/>
    <mergeCell ref="Q39:Q41"/>
    <mergeCell ref="Q35:Q37"/>
    <mergeCell ref="Q69:W69"/>
    <mergeCell ref="S100:U100"/>
    <mergeCell ref="S101:U101"/>
    <mergeCell ref="R59:R61"/>
    <mergeCell ref="S56:U57"/>
    <mergeCell ref="S59:U61"/>
    <mergeCell ref="S63:U65"/>
    <mergeCell ref="S67:U68"/>
    <mergeCell ref="Q62:W62"/>
    <mergeCell ref="Q66:W66"/>
    <mergeCell ref="Q67:Q68"/>
    <mergeCell ref="Q38:W38"/>
    <mergeCell ref="Q42:W42"/>
    <mergeCell ref="Q46:W46"/>
    <mergeCell ref="Q51:W51"/>
    <mergeCell ref="Q55:W55"/>
    <mergeCell ref="Q58:W58"/>
    <mergeCell ref="Q56:Q57"/>
  </mergeCells>
  <hyperlinks>
    <hyperlink ref="S13" r:id="rId1" xr:uid="{00000000-0004-0000-0A00-000000000000}"/>
  </hyperlinks>
  <pageMargins left="0.7" right="0.7" top="0.75" bottom="0.75" header="0" footer="0"/>
  <pageSetup paperSize="9" orientation="portrait"/>
  <drawing r:id="rId2"/>
  <extLst>
    <ext xmlns:x14="http://schemas.microsoft.com/office/spreadsheetml/2009/9/main" uri="{CCE6A557-97BC-4b89-ADB6-D9C93CAAB3DF}">
      <x14:dataValidations xmlns:xm="http://schemas.microsoft.com/office/excel/2006/main" count="2">
        <x14:dataValidation type="list" allowBlank="1" showErrorMessage="1" xr:uid="{00000000-0002-0000-0A00-000000000000}">
          <x14:formula1>
            <xm:f>Données!$J$15:$J$22</xm:f>
          </x14:formula1>
          <xm:sqref>K15:K16 K17:L17 K18 K19:L19 E15:E27 W131 K20:K34 K35:L42 K43:K44 E218:E220 E226:E237 E137:E139 E141:E144 E146:E148 E150:E152 E154:E157 E159:E161 E163:E166 E168:E170 E172:E174 E176:E178 E180:E182 E184:E186 E188:E189 E191:E193 E195:E197 E199:E200 E202:E204 E206:E208 E210:E212 E214:E216 E35:E37 E39:E41 E43:E45 E47:E50 E52:E54 E56:E57 E59:E61 E63:E65 E67:E68 E70:E72 E74:E75 E131 E77:E79 E81:E83 E85:E87 E89:E91 E93:E96 E103:E105 E98:E101 E107:E109 E111:E113 E115:E117 E119:E121 E123:E125 E127:E129 W35:W37 W39:W41 W43:W45 W47:W50 W52:W54 W56:W57 W59:W61 W63:W65 W67:W68 W70:W72 W74:W75 W77:W79 W81:W83 W85:W87 W89:W91 W93:W96 W98:W101 W103:W105 W107:W109 W111:W113 W115:W117 W119:W121 W123:W125 W127:W129 T15:T27</xm:sqref>
        </x14:dataValidation>
        <x14:dataValidation type="list" allowBlank="1" showErrorMessage="1" xr:uid="{00000000-0002-0000-0A00-000001000000}">
          <x14:formula1>
            <xm:f>Données!$D$37:$D$39</xm:f>
          </x14:formula1>
          <xm:sqref>A15:A27 A35:A43 A47 A52 A56 A59 A63 A74:A131 A137:A221 A226:A237 Q76:Q77 Q47 Q52 Q56 Q59 Q63 A69:A70 Q69:Q70 A67 Q67 Q130:Q131 Q114:Q115 Q118:Q119 Q122:Q123 Q126:Q127 Q110:Q111 Q106:Q107 Q102:Q103 Q97:Q98 Q92:Q93 Q88:Q89 Q84:Q85 Q80:Q81 Q74 Q42:Q43 Q35 Q38:Q39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AE0F2"/>
  </sheetPr>
  <dimension ref="A1:Z1000"/>
  <sheetViews>
    <sheetView topLeftCell="A52" zoomScale="80" zoomScaleNormal="80" workbookViewId="0">
      <selection activeCell="E26" sqref="E26"/>
    </sheetView>
  </sheetViews>
  <sheetFormatPr baseColWidth="10" defaultColWidth="11.125" defaultRowHeight="15" customHeight="1"/>
  <cols>
    <col min="1" max="1" width="8.5" customWidth="1"/>
    <col min="2" max="2" width="30.5" customWidth="1"/>
    <col min="3" max="6" width="20.5" customWidth="1"/>
    <col min="7" max="8" width="11" customWidth="1"/>
    <col min="9" max="9" width="12.375" customWidth="1"/>
    <col min="10" max="26" width="11" customWidth="1"/>
  </cols>
  <sheetData>
    <row r="1" spans="1:26" ht="15.75" customHeight="1"/>
    <row r="2" spans="1:26" ht="15.75" customHeight="1">
      <c r="A2" s="570" t="s">
        <v>35</v>
      </c>
      <c r="B2" s="516"/>
      <c r="C2" s="516"/>
      <c r="D2" s="516"/>
      <c r="E2" s="516"/>
      <c r="F2" s="517"/>
    </row>
    <row r="3" spans="1:26" ht="15.75" customHeight="1">
      <c r="A3" s="6"/>
      <c r="B3" s="6"/>
      <c r="C3" s="6"/>
      <c r="D3" s="6"/>
      <c r="E3" s="6"/>
      <c r="F3" s="6"/>
      <c r="G3" s="6"/>
      <c r="H3" s="6"/>
      <c r="I3" s="6"/>
      <c r="J3" s="6"/>
      <c r="K3" s="6"/>
      <c r="L3" s="6"/>
      <c r="M3" s="6"/>
      <c r="N3" s="6"/>
      <c r="O3" s="6"/>
      <c r="P3" s="6"/>
      <c r="Q3" s="6"/>
      <c r="R3" s="6"/>
      <c r="S3" s="6"/>
      <c r="T3" s="6"/>
      <c r="U3" s="6"/>
      <c r="V3" s="6"/>
      <c r="W3" s="6"/>
      <c r="X3" s="6"/>
      <c r="Y3" s="6"/>
      <c r="Z3" s="6"/>
    </row>
    <row r="4" spans="1:26" ht="15.75" customHeight="1">
      <c r="A4" s="192"/>
      <c r="B4" s="3" t="s">
        <v>785</v>
      </c>
      <c r="C4" s="192"/>
      <c r="D4" s="192"/>
      <c r="E4" s="192"/>
      <c r="F4" s="192"/>
      <c r="G4" s="192"/>
      <c r="H4" s="192"/>
      <c r="I4" s="192"/>
      <c r="J4" s="192"/>
      <c r="K4" s="192"/>
      <c r="L4" s="192"/>
      <c r="M4" s="192"/>
      <c r="N4" s="192"/>
      <c r="O4" s="192"/>
      <c r="P4" s="192"/>
      <c r="Q4" s="192"/>
      <c r="R4" s="192"/>
      <c r="S4" s="192"/>
      <c r="T4" s="192"/>
      <c r="U4" s="192"/>
      <c r="V4" s="192"/>
      <c r="W4" s="192"/>
      <c r="X4" s="192"/>
      <c r="Y4" s="192"/>
      <c r="Z4" s="192"/>
    </row>
    <row r="5" spans="1:26" ht="15.75" customHeight="1">
      <c r="A5" s="12"/>
      <c r="B5" s="33" t="s">
        <v>111</v>
      </c>
      <c r="C5" s="12"/>
      <c r="D5" s="12"/>
      <c r="E5" s="12"/>
      <c r="F5" s="12"/>
      <c r="G5" s="12"/>
      <c r="H5" s="12"/>
      <c r="I5" s="12"/>
      <c r="J5" s="12"/>
      <c r="K5" s="12"/>
      <c r="L5" s="12"/>
      <c r="M5" s="12"/>
      <c r="N5" s="12"/>
      <c r="O5" s="12"/>
      <c r="P5" s="12"/>
      <c r="Q5" s="12"/>
      <c r="R5" s="12"/>
      <c r="S5" s="12"/>
      <c r="T5" s="12"/>
      <c r="U5" s="12"/>
      <c r="V5" s="12"/>
      <c r="W5" s="12"/>
      <c r="X5" s="12"/>
      <c r="Y5" s="12"/>
      <c r="Z5" s="12"/>
    </row>
    <row r="6" spans="1:26" ht="15.75" customHeight="1">
      <c r="A6" s="12"/>
      <c r="B6" s="34" t="s">
        <v>112</v>
      </c>
      <c r="C6" s="12"/>
      <c r="D6" s="12"/>
      <c r="E6" s="12"/>
      <c r="F6" s="12"/>
      <c r="G6" s="12"/>
      <c r="H6" s="12"/>
      <c r="I6" s="12"/>
      <c r="J6" s="12"/>
      <c r="K6" s="12"/>
      <c r="L6" s="12"/>
      <c r="M6" s="12"/>
      <c r="N6" s="12"/>
      <c r="O6" s="12"/>
      <c r="P6" s="12"/>
      <c r="Q6" s="12"/>
      <c r="R6" s="12"/>
      <c r="S6" s="12"/>
      <c r="T6" s="12"/>
      <c r="U6" s="12"/>
      <c r="V6" s="12"/>
      <c r="W6" s="12"/>
      <c r="X6" s="12"/>
      <c r="Y6" s="12"/>
      <c r="Z6" s="12"/>
    </row>
    <row r="7" spans="1:26" ht="15.75" customHeight="1">
      <c r="A7" s="12"/>
      <c r="B7" s="3" t="s">
        <v>166</v>
      </c>
      <c r="C7" s="12"/>
      <c r="D7" s="12"/>
      <c r="E7" s="12"/>
      <c r="F7" s="12"/>
      <c r="G7" s="12"/>
      <c r="H7" s="12"/>
      <c r="I7" s="12"/>
      <c r="J7" s="12"/>
      <c r="K7" s="12"/>
      <c r="L7" s="12"/>
      <c r="M7" s="12"/>
      <c r="N7" s="12"/>
      <c r="O7" s="12"/>
      <c r="P7" s="12"/>
      <c r="Q7" s="12"/>
      <c r="R7" s="12"/>
      <c r="S7" s="12"/>
      <c r="T7" s="12"/>
      <c r="U7" s="12"/>
      <c r="V7" s="12"/>
      <c r="W7" s="12"/>
      <c r="X7" s="12"/>
      <c r="Y7" s="12"/>
      <c r="Z7" s="12"/>
    </row>
    <row r="8" spans="1:26" ht="15.75" customHeight="1">
      <c r="A8" s="12"/>
      <c r="B8" s="3" t="s">
        <v>113</v>
      </c>
      <c r="C8" s="1"/>
      <c r="D8" s="1"/>
      <c r="E8" s="1"/>
      <c r="F8" s="1"/>
      <c r="G8" s="1"/>
      <c r="H8" s="1"/>
      <c r="I8" s="1"/>
      <c r="J8" s="362"/>
      <c r="K8" s="1"/>
      <c r="L8" s="1"/>
      <c r="M8" s="1"/>
      <c r="N8" s="1"/>
      <c r="O8" s="1"/>
    </row>
    <row r="9" spans="1:26" ht="15.75" customHeight="1">
      <c r="A9" s="1"/>
      <c r="B9" s="1"/>
      <c r="C9" s="1"/>
      <c r="D9" s="1"/>
      <c r="E9" s="1"/>
      <c r="F9" s="1"/>
      <c r="G9" s="1"/>
      <c r="H9" s="363"/>
      <c r="I9" s="1"/>
      <c r="J9" s="1"/>
      <c r="K9" s="1"/>
      <c r="L9" s="1"/>
      <c r="M9" s="1"/>
      <c r="N9" s="1"/>
      <c r="O9" s="1"/>
    </row>
    <row r="10" spans="1:26" ht="15.75" customHeight="1">
      <c r="A10" s="1"/>
      <c r="B10" s="2" t="s">
        <v>363</v>
      </c>
      <c r="C10" s="1"/>
      <c r="D10" s="1"/>
      <c r="E10" s="1"/>
      <c r="F10" s="1"/>
      <c r="G10" s="1"/>
      <c r="H10" s="363" t="s">
        <v>364</v>
      </c>
      <c r="I10" s="1"/>
      <c r="J10" s="362" t="s">
        <v>365</v>
      </c>
      <c r="K10" s="1"/>
      <c r="L10" s="1"/>
      <c r="M10" s="1"/>
      <c r="N10" s="1"/>
      <c r="O10" s="1"/>
    </row>
    <row r="11" spans="1:26" ht="15.75" customHeight="1">
      <c r="A11" s="1"/>
      <c r="B11" s="1"/>
      <c r="C11" s="1"/>
      <c r="D11" s="1"/>
      <c r="E11" s="1"/>
      <c r="F11" s="1"/>
      <c r="G11" s="1"/>
      <c r="H11" s="363" t="s">
        <v>366</v>
      </c>
      <c r="I11" s="1"/>
      <c r="J11" s="1"/>
      <c r="K11" s="1"/>
      <c r="L11" s="1"/>
      <c r="M11" s="1"/>
      <c r="N11" s="1"/>
      <c r="O11" s="1"/>
    </row>
    <row r="12" spans="1:26" ht="60" customHeight="1">
      <c r="A12" s="364" t="s">
        <v>114</v>
      </c>
      <c r="B12" s="365" t="s">
        <v>167</v>
      </c>
      <c r="C12" s="365" t="s">
        <v>367</v>
      </c>
      <c r="D12" s="365" t="s">
        <v>368</v>
      </c>
      <c r="E12" s="365" t="s">
        <v>369</v>
      </c>
      <c r="F12" s="366" t="s">
        <v>370</v>
      </c>
      <c r="G12" s="1"/>
      <c r="H12" s="1"/>
      <c r="I12" s="1"/>
      <c r="J12" s="1"/>
      <c r="K12" s="1"/>
      <c r="L12" s="1"/>
      <c r="M12" s="1"/>
      <c r="N12" s="1"/>
      <c r="O12" s="1"/>
    </row>
    <row r="13" spans="1:26" ht="15.75" customHeight="1">
      <c r="A13" s="150" t="s">
        <v>136</v>
      </c>
      <c r="B13" s="367"/>
      <c r="C13" s="368"/>
      <c r="D13" s="369" t="s">
        <v>371</v>
      </c>
      <c r="E13" s="369" t="s">
        <v>372</v>
      </c>
      <c r="F13" s="370">
        <v>25</v>
      </c>
      <c r="G13" s="1"/>
      <c r="H13" s="1"/>
      <c r="I13" s="1"/>
      <c r="J13" s="1"/>
      <c r="K13" s="1"/>
      <c r="L13" s="1"/>
      <c r="M13" s="1"/>
      <c r="N13" s="1"/>
      <c r="O13" s="1"/>
      <c r="P13" s="1"/>
      <c r="Q13" s="1"/>
      <c r="R13" s="1"/>
      <c r="S13" s="1"/>
      <c r="T13" s="1"/>
      <c r="U13" s="1"/>
      <c r="V13" s="1"/>
      <c r="W13" s="1"/>
      <c r="X13" s="1"/>
      <c r="Y13" s="1"/>
      <c r="Z13" s="1"/>
    </row>
    <row r="14" spans="1:26" ht="15.75" customHeight="1">
      <c r="A14" s="150"/>
      <c r="B14" s="222"/>
      <c r="C14" s="8"/>
      <c r="D14" s="369"/>
      <c r="E14" s="369"/>
      <c r="F14" s="371"/>
      <c r="G14" s="1"/>
      <c r="H14" s="1"/>
      <c r="I14" s="1"/>
      <c r="J14" s="1"/>
      <c r="K14" s="1"/>
      <c r="L14" s="1"/>
      <c r="M14" s="1"/>
      <c r="N14" s="1"/>
      <c r="O14" s="1"/>
    </row>
    <row r="15" spans="1:26" ht="15.75" customHeight="1">
      <c r="A15" s="150"/>
      <c r="B15" s="222"/>
      <c r="C15" s="8"/>
      <c r="D15" s="369"/>
      <c r="E15" s="369"/>
      <c r="F15" s="371"/>
      <c r="G15" s="1"/>
      <c r="H15" s="1"/>
      <c r="I15" s="1"/>
      <c r="J15" s="1"/>
      <c r="K15" s="1"/>
      <c r="L15" s="1"/>
      <c r="M15" s="1"/>
      <c r="N15" s="1"/>
      <c r="O15" s="1"/>
    </row>
    <row r="16" spans="1:26" ht="15.75" customHeight="1">
      <c r="A16" s="150"/>
      <c r="B16" s="222"/>
      <c r="C16" s="8"/>
      <c r="D16" s="369"/>
      <c r="E16" s="369"/>
      <c r="F16" s="371"/>
      <c r="G16" s="1"/>
      <c r="H16" s="1"/>
      <c r="I16" s="1"/>
      <c r="J16" s="1"/>
      <c r="K16" s="1"/>
      <c r="L16" s="1"/>
      <c r="M16" s="1"/>
      <c r="N16" s="1"/>
      <c r="O16" s="1"/>
    </row>
    <row r="17" spans="1:15" ht="15.75" customHeight="1">
      <c r="A17" s="150"/>
      <c r="B17" s="222"/>
      <c r="C17" s="8"/>
      <c r="D17" s="369"/>
      <c r="E17" s="369"/>
      <c r="F17" s="371"/>
      <c r="G17" s="1"/>
      <c r="H17" s="363" t="s">
        <v>373</v>
      </c>
      <c r="I17" s="1"/>
      <c r="J17" s="1"/>
      <c r="K17" s="1"/>
      <c r="L17" s="1"/>
      <c r="M17" s="1"/>
      <c r="N17" s="1"/>
      <c r="O17" s="1"/>
    </row>
    <row r="18" spans="1:15" ht="15.75" customHeight="1">
      <c r="A18" s="150"/>
      <c r="B18" s="222"/>
      <c r="C18" s="8"/>
      <c r="D18" s="369"/>
      <c r="E18" s="369"/>
      <c r="F18" s="371"/>
      <c r="G18" s="1"/>
      <c r="H18" s="363"/>
      <c r="I18" s="1"/>
      <c r="J18" s="1"/>
      <c r="K18" s="1"/>
      <c r="L18" s="1"/>
      <c r="M18" s="1"/>
      <c r="N18" s="1"/>
      <c r="O18" s="1"/>
    </row>
    <row r="19" spans="1:15" ht="15.75" customHeight="1">
      <c r="A19" s="150"/>
      <c r="B19" s="222"/>
      <c r="C19" s="8"/>
      <c r="D19" s="369"/>
      <c r="E19" s="369"/>
      <c r="F19" s="371"/>
      <c r="G19" s="1"/>
      <c r="H19" s="363"/>
      <c r="I19" s="1"/>
      <c r="J19" s="1"/>
      <c r="K19" s="1"/>
      <c r="L19" s="1"/>
      <c r="M19" s="1"/>
      <c r="N19" s="1"/>
      <c r="O19" s="1"/>
    </row>
    <row r="20" spans="1:15" ht="15.75" customHeight="1">
      <c r="A20" s="150"/>
      <c r="B20" s="222"/>
      <c r="C20" s="8"/>
      <c r="D20" s="369"/>
      <c r="E20" s="369"/>
      <c r="F20" s="371"/>
      <c r="G20" s="1"/>
      <c r="H20" s="1"/>
      <c r="I20" s="1"/>
      <c r="J20" s="1"/>
      <c r="K20" s="1"/>
      <c r="L20" s="1"/>
      <c r="M20" s="1"/>
      <c r="N20" s="1"/>
      <c r="O20" s="1"/>
    </row>
    <row r="21" spans="1:15" ht="15.75" customHeight="1">
      <c r="A21" s="150"/>
      <c r="B21" s="222"/>
      <c r="C21" s="8"/>
      <c r="D21" s="369"/>
      <c r="E21" s="369"/>
      <c r="F21" s="371"/>
      <c r="G21" s="1"/>
      <c r="H21" s="1"/>
      <c r="I21" s="1"/>
      <c r="J21" s="1"/>
      <c r="K21" s="1"/>
      <c r="L21" s="1"/>
      <c r="M21" s="1"/>
      <c r="N21" s="1"/>
      <c r="O21" s="1"/>
    </row>
    <row r="22" spans="1:15" ht="15.75" customHeight="1">
      <c r="A22" s="150"/>
      <c r="B22" s="222"/>
      <c r="C22" s="8"/>
      <c r="D22" s="369"/>
      <c r="E22" s="369"/>
      <c r="F22" s="371"/>
      <c r="G22" s="1"/>
      <c r="H22" s="1"/>
      <c r="I22" s="1"/>
      <c r="J22" s="1"/>
      <c r="K22" s="1"/>
      <c r="L22" s="1"/>
      <c r="M22" s="1"/>
      <c r="N22" s="1"/>
      <c r="O22" s="1"/>
    </row>
    <row r="23" spans="1:15" ht="15.75" customHeight="1">
      <c r="A23" s="150"/>
      <c r="B23" s="222"/>
      <c r="C23" s="8"/>
      <c r="D23" s="369"/>
      <c r="E23" s="369"/>
      <c r="F23" s="371"/>
      <c r="G23" s="1"/>
      <c r="H23" s="1"/>
      <c r="I23" s="1"/>
      <c r="J23" s="1"/>
      <c r="K23" s="1"/>
      <c r="L23" s="1"/>
      <c r="M23" s="1"/>
      <c r="N23" s="1"/>
      <c r="O23" s="1"/>
    </row>
    <row r="24" spans="1:15" ht="15.75" customHeight="1">
      <c r="A24" s="150"/>
      <c r="B24" s="222"/>
      <c r="C24" s="8"/>
      <c r="D24" s="369"/>
      <c r="E24" s="369"/>
      <c r="F24" s="371"/>
      <c r="G24" s="1"/>
      <c r="H24" s="1"/>
      <c r="I24" s="1"/>
      <c r="J24" s="1"/>
      <c r="K24" s="1"/>
      <c r="L24" s="1"/>
      <c r="M24" s="1"/>
      <c r="N24" s="1"/>
      <c r="O24" s="1"/>
    </row>
    <row r="25" spans="1:15" ht="15.75" customHeight="1">
      <c r="A25" s="150"/>
      <c r="B25" s="222"/>
      <c r="C25" s="8"/>
      <c r="D25" s="369"/>
      <c r="E25" s="369"/>
      <c r="F25" s="371"/>
      <c r="G25" s="1"/>
      <c r="H25" s="1"/>
      <c r="I25" s="1"/>
      <c r="J25" s="1"/>
      <c r="K25" s="1"/>
      <c r="L25" s="1"/>
      <c r="M25" s="1"/>
      <c r="N25" s="1"/>
      <c r="O25" s="1"/>
    </row>
    <row r="26" spans="1:15" ht="15.75" customHeight="1">
      <c r="A26" s="150"/>
      <c r="B26" s="222"/>
      <c r="C26" s="8"/>
      <c r="D26" s="369"/>
      <c r="E26" s="369"/>
      <c r="F26" s="371"/>
      <c r="G26" s="1"/>
      <c r="H26" s="1"/>
      <c r="I26" s="1"/>
      <c r="J26" s="1"/>
      <c r="K26" s="1"/>
      <c r="L26" s="1"/>
      <c r="M26" s="1"/>
      <c r="N26" s="1"/>
      <c r="O26" s="1"/>
    </row>
    <row r="27" spans="1:15" ht="15.75" customHeight="1">
      <c r="A27" s="150"/>
      <c r="B27" s="222"/>
      <c r="C27" s="8"/>
      <c r="D27" s="369"/>
      <c r="E27" s="369"/>
      <c r="F27" s="371"/>
      <c r="G27" s="1"/>
      <c r="H27" s="1"/>
      <c r="I27" s="1"/>
      <c r="J27" s="1"/>
      <c r="K27" s="1"/>
      <c r="L27" s="1"/>
      <c r="M27" s="1"/>
      <c r="N27" s="1"/>
      <c r="O27" s="1"/>
    </row>
    <row r="28" spans="1:15" ht="15.75" customHeight="1">
      <c r="A28" s="150"/>
      <c r="B28" s="222"/>
      <c r="C28" s="8"/>
      <c r="D28" s="369"/>
      <c r="E28" s="369"/>
      <c r="F28" s="371"/>
      <c r="G28" s="1"/>
      <c r="H28" s="363" t="s">
        <v>378</v>
      </c>
      <c r="I28" s="1"/>
      <c r="J28" s="1"/>
      <c r="K28" s="1"/>
      <c r="L28" s="1"/>
      <c r="M28" s="1"/>
      <c r="N28" s="1"/>
      <c r="O28" s="1"/>
    </row>
    <row r="29" spans="1:15" ht="15.75" customHeight="1">
      <c r="A29" s="150"/>
      <c r="B29" s="222"/>
      <c r="C29" s="8"/>
      <c r="D29" s="369"/>
      <c r="E29" s="369"/>
      <c r="F29" s="371"/>
      <c r="G29" s="1"/>
      <c r="H29" s="1"/>
      <c r="I29" s="1"/>
      <c r="J29" s="1"/>
      <c r="K29" s="1"/>
      <c r="L29" s="1"/>
      <c r="M29" s="1"/>
      <c r="N29" s="1"/>
      <c r="O29" s="1"/>
    </row>
    <row r="30" spans="1:15" ht="15.75" customHeight="1">
      <c r="A30" s="150"/>
      <c r="B30" s="222"/>
      <c r="C30" s="8"/>
      <c r="D30" s="369"/>
      <c r="E30" s="369"/>
      <c r="F30" s="371"/>
      <c r="G30" s="1"/>
      <c r="H30" s="363"/>
      <c r="I30" s="1"/>
      <c r="J30" s="1"/>
      <c r="K30" s="1"/>
      <c r="L30" s="1"/>
      <c r="M30" s="1"/>
      <c r="N30" s="1"/>
      <c r="O30" s="1"/>
    </row>
    <row r="31" spans="1:15" ht="15.75" customHeight="1">
      <c r="A31" s="150"/>
      <c r="B31" s="222"/>
      <c r="C31" s="8"/>
      <c r="D31" s="369"/>
      <c r="E31" s="369"/>
      <c r="F31" s="371"/>
      <c r="G31" s="1"/>
      <c r="H31" s="1"/>
      <c r="I31" s="1"/>
      <c r="J31" s="1"/>
      <c r="K31" s="1"/>
      <c r="L31" s="1"/>
      <c r="M31" s="1"/>
      <c r="N31" s="1"/>
      <c r="O31" s="1"/>
    </row>
    <row r="32" spans="1:15" ht="15.75" customHeight="1">
      <c r="A32" s="150"/>
      <c r="B32" s="222"/>
      <c r="C32" s="8"/>
      <c r="D32" s="369"/>
      <c r="E32" s="369"/>
      <c r="F32" s="371"/>
      <c r="G32" s="1"/>
      <c r="H32" s="1"/>
      <c r="I32" s="1"/>
      <c r="J32" s="1"/>
      <c r="K32" s="1"/>
      <c r="L32" s="1"/>
      <c r="M32" s="1"/>
      <c r="N32" s="1"/>
      <c r="O32" s="1"/>
    </row>
    <row r="33" spans="1:15" ht="15.75" customHeight="1">
      <c r="A33" s="150"/>
      <c r="B33" s="222"/>
      <c r="C33" s="8"/>
      <c r="D33" s="369"/>
      <c r="E33" s="369"/>
      <c r="F33" s="371"/>
      <c r="G33" s="1"/>
      <c r="H33" s="363"/>
      <c r="I33" s="1"/>
      <c r="J33" s="1"/>
      <c r="K33" s="1"/>
      <c r="L33" s="1"/>
      <c r="M33" s="1"/>
      <c r="N33" s="1"/>
      <c r="O33" s="1"/>
    </row>
    <row r="34" spans="1:15" ht="15.75" customHeight="1">
      <c r="A34" s="150"/>
      <c r="B34" s="222"/>
      <c r="C34" s="8"/>
      <c r="D34" s="369"/>
      <c r="E34" s="369"/>
      <c r="F34" s="371"/>
      <c r="G34" s="1"/>
      <c r="H34" s="1"/>
      <c r="I34" s="1"/>
      <c r="J34" s="1"/>
      <c r="K34" s="1"/>
      <c r="L34" s="1"/>
      <c r="M34" s="1"/>
      <c r="N34" s="1"/>
      <c r="O34" s="1"/>
    </row>
    <row r="35" spans="1:15" ht="15.75" customHeight="1">
      <c r="A35" s="150"/>
      <c r="B35" s="222"/>
      <c r="C35" s="8"/>
      <c r="D35" s="369"/>
      <c r="E35" s="369"/>
      <c r="F35" s="371"/>
      <c r="G35" s="1"/>
      <c r="H35" s="1"/>
      <c r="I35" s="1"/>
      <c r="J35" s="1"/>
      <c r="K35" s="1"/>
      <c r="L35" s="1"/>
      <c r="M35" s="1"/>
      <c r="N35" s="1"/>
      <c r="O35" s="1"/>
    </row>
    <row r="36" spans="1:15" ht="15.75" customHeight="1">
      <c r="A36" s="150"/>
      <c r="B36" s="222"/>
      <c r="C36" s="8"/>
      <c r="D36" s="369"/>
      <c r="E36" s="369"/>
      <c r="F36" s="371"/>
      <c r="G36" s="1"/>
      <c r="H36" s="1"/>
      <c r="I36" s="1"/>
      <c r="J36" s="1"/>
      <c r="K36" s="1"/>
      <c r="L36" s="1"/>
      <c r="M36" s="1"/>
      <c r="N36" s="1"/>
      <c r="O36" s="1"/>
    </row>
    <row r="37" spans="1:15" ht="15.75" customHeight="1">
      <c r="A37" s="150"/>
      <c r="B37" s="222"/>
      <c r="C37" s="8"/>
      <c r="D37" s="369"/>
      <c r="E37" s="369"/>
      <c r="F37" s="371"/>
      <c r="G37" s="1"/>
      <c r="H37" s="1"/>
      <c r="I37" s="1"/>
      <c r="J37" s="1"/>
      <c r="K37" s="1"/>
      <c r="L37" s="1"/>
      <c r="M37" s="1"/>
      <c r="N37" s="1"/>
      <c r="O37" s="1"/>
    </row>
    <row r="38" spans="1:15" ht="15.75" customHeight="1">
      <c r="A38" s="150"/>
      <c r="B38" s="222"/>
      <c r="C38" s="8"/>
      <c r="D38" s="369"/>
      <c r="E38" s="369"/>
      <c r="F38" s="371"/>
      <c r="G38" s="1"/>
      <c r="H38" s="1"/>
      <c r="I38" s="1"/>
      <c r="J38" s="1"/>
      <c r="K38" s="1"/>
      <c r="L38" s="1"/>
      <c r="M38" s="1"/>
      <c r="N38" s="1"/>
      <c r="O38" s="1"/>
    </row>
    <row r="39" spans="1:15" ht="15.75" customHeight="1">
      <c r="A39" s="150"/>
      <c r="B39" s="222"/>
      <c r="C39" s="8"/>
      <c r="D39" s="369"/>
      <c r="E39" s="369"/>
      <c r="F39" s="371"/>
      <c r="G39" s="1"/>
      <c r="H39" s="1"/>
      <c r="I39" s="1"/>
      <c r="J39" s="1"/>
      <c r="K39" s="1"/>
      <c r="L39" s="1"/>
      <c r="M39" s="1"/>
      <c r="N39" s="1"/>
      <c r="O39" s="1"/>
    </row>
    <row r="40" spans="1:15" ht="15.75" customHeight="1">
      <c r="A40" s="150"/>
      <c r="B40" s="222"/>
      <c r="C40" s="8"/>
      <c r="D40" s="369"/>
      <c r="E40" s="369"/>
      <c r="F40" s="371"/>
      <c r="G40" s="1"/>
      <c r="H40" s="1"/>
      <c r="I40" s="1"/>
      <c r="J40" s="1"/>
      <c r="K40" s="1"/>
      <c r="L40" s="1"/>
      <c r="M40" s="1"/>
      <c r="N40" s="1"/>
      <c r="O40" s="1"/>
    </row>
    <row r="41" spans="1:15" ht="15.75" customHeight="1">
      <c r="A41" s="150"/>
      <c r="B41" s="222"/>
      <c r="C41" s="8"/>
      <c r="D41" s="369"/>
      <c r="E41" s="369"/>
      <c r="F41" s="371"/>
      <c r="G41" s="1"/>
      <c r="H41" s="363" t="s">
        <v>377</v>
      </c>
      <c r="I41" s="1"/>
      <c r="J41" s="1"/>
      <c r="K41" s="1"/>
      <c r="L41" s="1"/>
      <c r="M41" s="1"/>
      <c r="N41" s="1"/>
      <c r="O41" s="1"/>
    </row>
    <row r="42" spans="1:15" ht="15.75" customHeight="1">
      <c r="A42" s="150"/>
      <c r="B42" s="222"/>
      <c r="C42" s="8"/>
      <c r="D42" s="369"/>
      <c r="E42" s="369"/>
      <c r="F42" s="371"/>
      <c r="G42" s="1"/>
      <c r="H42" s="1"/>
      <c r="I42" s="1"/>
      <c r="J42" s="1"/>
      <c r="K42" s="1"/>
      <c r="L42" s="1"/>
      <c r="M42" s="1"/>
      <c r="N42" s="1"/>
      <c r="O42" s="1"/>
    </row>
    <row r="43" spans="1:15" ht="15.75" customHeight="1">
      <c r="A43" s="150"/>
      <c r="B43" s="222"/>
      <c r="C43" s="8"/>
      <c r="D43" s="369"/>
      <c r="E43" s="369"/>
      <c r="F43" s="371"/>
      <c r="G43" s="1"/>
      <c r="H43" s="363"/>
      <c r="I43" s="1"/>
      <c r="J43" s="1"/>
      <c r="K43" s="1"/>
      <c r="L43" s="1"/>
      <c r="M43" s="1"/>
      <c r="N43" s="1"/>
      <c r="O43" s="1"/>
    </row>
    <row r="44" spans="1:15" ht="15.75" customHeight="1">
      <c r="A44" s="150"/>
      <c r="B44" s="222"/>
      <c r="C44" s="8"/>
      <c r="D44" s="369"/>
      <c r="E44" s="369"/>
      <c r="F44" s="371"/>
      <c r="G44" s="1"/>
      <c r="H44" s="363"/>
      <c r="I44" s="1"/>
      <c r="J44" s="1"/>
      <c r="K44" s="1"/>
      <c r="L44" s="1"/>
      <c r="M44" s="1"/>
      <c r="N44" s="1"/>
      <c r="O44" s="1"/>
    </row>
    <row r="45" spans="1:15" ht="15.75" customHeight="1">
      <c r="A45" s="1"/>
      <c r="B45" s="1"/>
      <c r="C45" s="1"/>
      <c r="D45" s="1"/>
      <c r="E45" s="1"/>
      <c r="F45" s="113"/>
      <c r="G45" s="1"/>
      <c r="H45" s="1"/>
      <c r="I45" s="1"/>
      <c r="J45" s="1"/>
      <c r="K45" s="1"/>
      <c r="L45" s="1"/>
      <c r="M45" s="1"/>
      <c r="N45" s="1"/>
      <c r="O45" s="1"/>
    </row>
    <row r="46" spans="1:15" ht="15.75" customHeight="1">
      <c r="A46" s="1"/>
      <c r="B46" s="1"/>
      <c r="C46" s="1"/>
      <c r="D46" s="687" t="s">
        <v>379</v>
      </c>
      <c r="E46" s="603"/>
      <c r="F46" s="372">
        <f>SUMIF(D13:D44,"Matériel Prise de vue",F13:F44)</f>
        <v>25</v>
      </c>
      <c r="G46" s="1"/>
      <c r="H46" s="1"/>
      <c r="I46" s="1"/>
      <c r="J46" s="1"/>
      <c r="K46" s="1"/>
      <c r="L46" s="1"/>
      <c r="M46" s="1"/>
      <c r="N46" s="1"/>
      <c r="O46" s="1"/>
    </row>
    <row r="47" spans="1:15" ht="15.75" customHeight="1">
      <c r="A47" s="1"/>
      <c r="B47" s="1"/>
      <c r="C47" s="1"/>
      <c r="D47" s="688" t="s">
        <v>380</v>
      </c>
      <c r="E47" s="519"/>
      <c r="F47" s="373">
        <f>SUMIF(D13:D44,"Matériel Machinerie",F13:F44)</f>
        <v>0</v>
      </c>
      <c r="G47" s="1"/>
      <c r="H47" s="363"/>
      <c r="I47" s="1"/>
      <c r="J47" s="1"/>
      <c r="K47" s="1"/>
      <c r="L47" s="1"/>
      <c r="M47" s="1"/>
      <c r="N47" s="1"/>
      <c r="O47" s="1"/>
    </row>
    <row r="48" spans="1:15" ht="15.75" customHeight="1">
      <c r="A48" s="1"/>
      <c r="B48" s="1"/>
      <c r="C48" s="1"/>
      <c r="D48" s="688" t="s">
        <v>381</v>
      </c>
      <c r="E48" s="519"/>
      <c r="F48" s="373">
        <f>SUMIF(D13:D44,"Matériel Eclairage",F13:F44)</f>
        <v>0</v>
      </c>
      <c r="G48" s="1"/>
      <c r="H48" s="1"/>
      <c r="I48" s="1"/>
      <c r="J48" s="1"/>
      <c r="K48" s="1"/>
      <c r="L48" s="1"/>
      <c r="M48" s="1"/>
      <c r="N48" s="1"/>
      <c r="O48" s="1"/>
    </row>
    <row r="49" spans="1:26" ht="15.75" customHeight="1">
      <c r="A49" s="1"/>
      <c r="B49" s="1"/>
      <c r="C49" s="1"/>
      <c r="D49" s="689" t="s">
        <v>382</v>
      </c>
      <c r="E49" s="598"/>
      <c r="F49" s="374">
        <f>SUMIF(D13:D44,"Matériel Son",F13:F44)</f>
        <v>0</v>
      </c>
      <c r="G49" s="1"/>
      <c r="H49" s="1"/>
      <c r="I49" s="1"/>
      <c r="J49" s="1"/>
      <c r="K49" s="1"/>
      <c r="L49" s="1"/>
      <c r="M49" s="1"/>
      <c r="N49" s="1"/>
      <c r="O49" s="1"/>
    </row>
    <row r="50" spans="1:26" ht="15.75" customHeight="1">
      <c r="A50" s="1"/>
      <c r="B50" s="1"/>
      <c r="C50" s="1"/>
      <c r="D50" s="605" t="s">
        <v>383</v>
      </c>
      <c r="E50" s="594"/>
      <c r="F50" s="375">
        <f>SUM(F46:F49)</f>
        <v>25</v>
      </c>
      <c r="G50" s="1"/>
      <c r="H50" s="1"/>
      <c r="I50" s="1"/>
      <c r="J50" s="1"/>
      <c r="K50" s="1"/>
      <c r="L50" s="1"/>
      <c r="M50" s="1"/>
      <c r="N50" s="1"/>
      <c r="O50" s="1"/>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570" t="s">
        <v>384</v>
      </c>
      <c r="B52" s="516"/>
      <c r="C52" s="516"/>
      <c r="D52" s="516"/>
      <c r="E52" s="516"/>
      <c r="F52" s="516"/>
      <c r="G52" s="517"/>
      <c r="H52" s="1"/>
      <c r="I52" s="1"/>
      <c r="J52" s="1"/>
    </row>
    <row r="53" spans="1:26" ht="15.75" customHeight="1">
      <c r="A53" s="1"/>
      <c r="B53" s="1"/>
      <c r="C53" s="1"/>
      <c r="D53" s="1"/>
      <c r="E53" s="1"/>
      <c r="F53" s="1"/>
      <c r="G53" s="1"/>
      <c r="H53" s="311"/>
      <c r="I53" s="1"/>
      <c r="J53" s="1"/>
      <c r="K53" s="1"/>
      <c r="L53" s="1"/>
      <c r="M53" s="1"/>
      <c r="N53" s="1"/>
      <c r="O53" s="1"/>
    </row>
    <row r="54" spans="1:26" ht="15.75" customHeight="1">
      <c r="A54" s="1"/>
      <c r="B54" s="1"/>
      <c r="C54" s="1"/>
      <c r="D54" s="1"/>
      <c r="E54" s="1"/>
      <c r="F54" s="1"/>
      <c r="G54" s="1"/>
      <c r="H54" s="1"/>
      <c r="I54" s="1"/>
      <c r="J54" s="1"/>
      <c r="K54" s="1"/>
      <c r="L54" s="1"/>
      <c r="M54" s="1"/>
      <c r="N54" s="1"/>
      <c r="O54" s="1"/>
    </row>
    <row r="55" spans="1:26" ht="15.75" customHeight="1">
      <c r="A55" s="1"/>
      <c r="B55" s="1"/>
      <c r="C55" s="1"/>
      <c r="D55" s="1"/>
      <c r="E55" s="1"/>
      <c r="F55" s="1"/>
      <c r="G55" s="1"/>
      <c r="H55" s="1"/>
      <c r="I55" s="1"/>
      <c r="J55" s="1"/>
      <c r="K55" s="1"/>
      <c r="L55" s="1"/>
      <c r="M55" s="1"/>
      <c r="N55" s="1"/>
      <c r="O55" s="1"/>
    </row>
    <row r="56" spans="1:26" ht="15.75" customHeight="1">
      <c r="A56" s="1"/>
      <c r="B56" s="1"/>
      <c r="C56" s="1"/>
      <c r="D56" s="1"/>
      <c r="E56" s="1"/>
      <c r="F56" s="1"/>
      <c r="G56" s="1"/>
      <c r="H56" s="1"/>
      <c r="I56" s="1"/>
      <c r="J56" s="1"/>
      <c r="K56" s="1"/>
      <c r="L56" s="1"/>
      <c r="M56" s="1"/>
      <c r="N56" s="1"/>
      <c r="O56" s="1"/>
    </row>
    <row r="57" spans="1:26" ht="15.75" customHeight="1">
      <c r="A57" s="1"/>
      <c r="B57" s="1"/>
      <c r="C57" s="1"/>
      <c r="D57" s="1"/>
      <c r="E57" s="1"/>
      <c r="F57" s="1"/>
      <c r="G57" s="1"/>
      <c r="H57" s="1"/>
      <c r="I57" s="1"/>
      <c r="J57" s="1"/>
      <c r="K57" s="1"/>
      <c r="L57" s="1"/>
      <c r="M57" s="1"/>
      <c r="N57" s="1"/>
      <c r="O57" s="1"/>
    </row>
    <row r="58" spans="1:26" ht="15.75" customHeight="1">
      <c r="A58" s="1"/>
      <c r="B58" s="1"/>
      <c r="C58" s="1"/>
      <c r="D58" s="1"/>
      <c r="E58" s="1"/>
      <c r="F58" s="1"/>
      <c r="G58" s="1"/>
      <c r="H58" s="1"/>
      <c r="I58" s="1"/>
      <c r="J58" s="1"/>
      <c r="K58" s="1"/>
      <c r="L58" s="1"/>
      <c r="M58" s="1"/>
      <c r="N58" s="1"/>
      <c r="O58" s="1"/>
    </row>
    <row r="59" spans="1:26" ht="15.75" customHeight="1">
      <c r="A59" s="1"/>
      <c r="B59" s="1"/>
      <c r="C59" s="1"/>
      <c r="D59" s="1"/>
      <c r="E59" s="1"/>
      <c r="F59" s="1"/>
      <c r="G59" s="1"/>
      <c r="H59" s="1"/>
      <c r="I59" s="1"/>
      <c r="J59" s="1"/>
      <c r="K59" s="1"/>
      <c r="L59" s="1"/>
      <c r="M59" s="1"/>
      <c r="N59" s="1"/>
      <c r="O59" s="1"/>
    </row>
    <row r="60" spans="1:26" ht="15.75" customHeight="1">
      <c r="A60" s="1"/>
      <c r="B60" s="1"/>
      <c r="C60" s="1"/>
      <c r="D60" s="1"/>
      <c r="E60" s="1"/>
      <c r="F60" s="1"/>
      <c r="G60" s="1"/>
      <c r="H60" s="1"/>
      <c r="I60" s="1"/>
      <c r="J60" s="1"/>
      <c r="K60" s="1"/>
      <c r="L60" s="1"/>
      <c r="M60" s="1"/>
      <c r="N60" s="1"/>
      <c r="O60" s="1"/>
    </row>
    <row r="61" spans="1:26" ht="15.75" customHeight="1">
      <c r="A61" s="1"/>
      <c r="B61" s="1"/>
      <c r="C61" s="1"/>
      <c r="D61" s="1"/>
      <c r="E61" s="1"/>
      <c r="F61" s="1"/>
      <c r="G61" s="1"/>
      <c r="H61" s="1"/>
      <c r="I61" s="1"/>
      <c r="J61" s="1"/>
      <c r="K61" s="1"/>
      <c r="L61" s="1"/>
      <c r="M61" s="1"/>
      <c r="N61" s="1"/>
      <c r="O61" s="1"/>
    </row>
    <row r="62" spans="1:26" ht="15.75" customHeight="1">
      <c r="A62" s="1"/>
      <c r="B62" s="1"/>
      <c r="C62" s="1"/>
      <c r="D62" s="1"/>
      <c r="E62" s="1"/>
      <c r="F62" s="1"/>
      <c r="G62" s="1"/>
      <c r="H62" s="1"/>
      <c r="I62" s="1"/>
      <c r="J62" s="1"/>
      <c r="K62" s="1"/>
      <c r="L62" s="1"/>
      <c r="M62" s="1"/>
      <c r="N62" s="1"/>
      <c r="O62" s="1"/>
    </row>
    <row r="63" spans="1:26" ht="15.75" customHeight="1">
      <c r="A63" s="1"/>
      <c r="B63" s="1"/>
      <c r="C63" s="1"/>
      <c r="D63" s="1"/>
      <c r="E63" s="1"/>
      <c r="F63" s="1"/>
      <c r="G63" s="1"/>
      <c r="H63" s="1"/>
      <c r="I63" s="1"/>
      <c r="J63" s="1"/>
      <c r="K63" s="1"/>
      <c r="L63" s="1"/>
      <c r="M63" s="1"/>
      <c r="N63" s="1"/>
      <c r="O63" s="1"/>
    </row>
    <row r="64" spans="1:26" ht="15.75" customHeight="1">
      <c r="A64" s="1"/>
      <c r="B64" s="1"/>
      <c r="C64" s="1"/>
      <c r="D64" s="1"/>
      <c r="E64" s="1"/>
      <c r="F64" s="1"/>
      <c r="G64" s="1"/>
      <c r="H64" s="1"/>
      <c r="I64" s="1"/>
      <c r="J64" s="1"/>
      <c r="K64" s="1"/>
      <c r="L64" s="1"/>
      <c r="M64" s="1"/>
      <c r="N64" s="1"/>
      <c r="O64" s="1"/>
    </row>
    <row r="65" spans="1:15" ht="15.75" customHeight="1">
      <c r="A65" s="1"/>
      <c r="B65" s="1"/>
      <c r="C65" s="1"/>
      <c r="D65" s="1"/>
      <c r="E65" s="1"/>
      <c r="F65" s="1"/>
      <c r="G65" s="1"/>
      <c r="H65" s="1"/>
      <c r="I65" s="1"/>
      <c r="J65" s="1"/>
      <c r="K65" s="1"/>
      <c r="L65" s="1"/>
      <c r="M65" s="1"/>
      <c r="N65" s="1"/>
      <c r="O65" s="1"/>
    </row>
    <row r="66" spans="1:15" ht="15.75" customHeight="1">
      <c r="A66" s="1"/>
      <c r="B66" s="1"/>
      <c r="C66" s="1"/>
      <c r="D66" s="1"/>
      <c r="E66" s="1"/>
      <c r="F66" s="1"/>
      <c r="G66" s="1"/>
      <c r="H66" s="1"/>
      <c r="I66" s="1"/>
      <c r="J66" s="1"/>
      <c r="K66" s="1"/>
      <c r="L66" s="1"/>
      <c r="M66" s="1"/>
      <c r="N66" s="1"/>
      <c r="O66" s="1"/>
    </row>
    <row r="67" spans="1:15" ht="15.75" customHeight="1">
      <c r="A67" s="1"/>
      <c r="B67" s="1"/>
      <c r="C67" s="1"/>
      <c r="D67" s="1"/>
      <c r="E67" s="1"/>
      <c r="F67" s="1"/>
      <c r="G67" s="1"/>
      <c r="H67" s="1"/>
      <c r="I67" s="1"/>
      <c r="J67" s="1"/>
      <c r="K67" s="1"/>
      <c r="L67" s="1"/>
      <c r="M67" s="1"/>
      <c r="N67" s="1"/>
      <c r="O67" s="1"/>
    </row>
    <row r="68" spans="1:15" ht="15.75" customHeight="1">
      <c r="A68" s="1"/>
      <c r="B68" s="1"/>
      <c r="C68" s="1"/>
      <c r="D68" s="1"/>
      <c r="E68" s="1"/>
      <c r="F68" s="1"/>
      <c r="G68" s="1"/>
      <c r="H68" s="1"/>
      <c r="I68" s="1"/>
      <c r="J68" s="1"/>
      <c r="K68" s="1"/>
      <c r="L68" s="1"/>
      <c r="M68" s="1"/>
      <c r="N68" s="1"/>
      <c r="O68" s="1"/>
    </row>
    <row r="69" spans="1:15" ht="15.75" customHeight="1">
      <c r="A69" s="1"/>
      <c r="B69" s="1"/>
      <c r="C69" s="1"/>
      <c r="D69" s="1"/>
      <c r="E69" s="1"/>
      <c r="F69" s="1"/>
      <c r="G69" s="1"/>
      <c r="H69" s="1"/>
      <c r="I69" s="1"/>
      <c r="J69" s="1"/>
      <c r="K69" s="1"/>
      <c r="L69" s="1"/>
      <c r="M69" s="1"/>
      <c r="N69" s="1"/>
      <c r="O69" s="1"/>
    </row>
    <row r="70" spans="1:15" ht="15.75" customHeight="1">
      <c r="A70" s="1"/>
      <c r="B70" s="1"/>
      <c r="C70" s="1"/>
      <c r="D70" s="1"/>
      <c r="E70" s="1"/>
      <c r="F70" s="1"/>
      <c r="G70" s="1"/>
      <c r="H70" s="1"/>
      <c r="I70" s="1"/>
      <c r="J70" s="1"/>
      <c r="K70" s="1"/>
      <c r="L70" s="1"/>
      <c r="M70" s="1"/>
      <c r="N70" s="1"/>
      <c r="O70" s="1"/>
    </row>
    <row r="71" spans="1:15" ht="15.75" customHeight="1">
      <c r="A71" s="1"/>
      <c r="B71" s="1"/>
      <c r="C71" s="1"/>
      <c r="D71" s="1"/>
      <c r="E71" s="1"/>
      <c r="F71" s="1"/>
      <c r="G71" s="1"/>
      <c r="H71" s="1"/>
      <c r="I71" s="1"/>
      <c r="J71" s="1"/>
      <c r="K71" s="1"/>
      <c r="L71" s="1"/>
      <c r="M71" s="1"/>
      <c r="N71" s="1"/>
      <c r="O71" s="1"/>
    </row>
    <row r="72" spans="1:15" ht="15.75" customHeight="1">
      <c r="A72" s="1"/>
      <c r="B72" s="1"/>
      <c r="C72" s="1"/>
      <c r="D72" s="1"/>
      <c r="E72" s="1"/>
      <c r="F72" s="1"/>
      <c r="G72" s="1"/>
      <c r="H72" s="1"/>
      <c r="I72" s="1"/>
      <c r="J72" s="1"/>
      <c r="K72" s="1"/>
      <c r="L72" s="1"/>
      <c r="M72" s="1"/>
      <c r="N72" s="1"/>
      <c r="O72" s="1"/>
    </row>
    <row r="73" spans="1:15" ht="15.75" customHeight="1">
      <c r="A73" s="1"/>
      <c r="B73" s="1"/>
      <c r="C73" s="1"/>
      <c r="D73" s="1"/>
      <c r="E73" s="1"/>
      <c r="F73" s="1"/>
      <c r="G73" s="1"/>
      <c r="H73" s="1"/>
      <c r="I73" s="1"/>
      <c r="J73" s="1"/>
      <c r="K73" s="1"/>
      <c r="L73" s="1"/>
      <c r="M73" s="1"/>
      <c r="N73" s="1"/>
      <c r="O73" s="1"/>
    </row>
    <row r="74" spans="1:15" ht="15.75" customHeight="1">
      <c r="A74" s="1"/>
      <c r="B74" s="1"/>
      <c r="C74" s="1"/>
      <c r="D74" s="1"/>
      <c r="E74" s="1"/>
      <c r="F74" s="1"/>
      <c r="G74" s="1"/>
      <c r="H74" s="1"/>
      <c r="I74" s="1"/>
      <c r="J74" s="1"/>
      <c r="K74" s="1"/>
      <c r="L74" s="1"/>
      <c r="M74" s="1"/>
      <c r="N74" s="1"/>
      <c r="O74" s="1"/>
    </row>
    <row r="75" spans="1:15" ht="15.75" customHeight="1">
      <c r="A75" s="1"/>
      <c r="B75" s="1"/>
      <c r="C75" s="1"/>
      <c r="D75" s="1"/>
      <c r="E75" s="1"/>
      <c r="F75" s="1"/>
      <c r="G75" s="1"/>
      <c r="H75" s="1"/>
      <c r="I75" s="1"/>
      <c r="J75" s="1"/>
      <c r="K75" s="1"/>
      <c r="L75" s="1"/>
      <c r="M75" s="1"/>
      <c r="N75" s="1"/>
      <c r="O75" s="1"/>
    </row>
    <row r="76" spans="1:15" ht="15.75" customHeight="1">
      <c r="A76" s="1"/>
      <c r="B76" s="1"/>
      <c r="C76" s="1"/>
      <c r="D76" s="1"/>
      <c r="E76" s="1"/>
      <c r="F76" s="1"/>
      <c r="G76" s="1"/>
      <c r="H76" s="1"/>
      <c r="I76" s="1"/>
      <c r="J76" s="1"/>
      <c r="K76" s="1"/>
      <c r="L76" s="1"/>
      <c r="M76" s="1"/>
      <c r="N76" s="1"/>
      <c r="O76" s="1"/>
    </row>
    <row r="77" spans="1:15" ht="15.75" customHeight="1">
      <c r="A77" s="1"/>
      <c r="B77" s="1"/>
      <c r="C77" s="1"/>
      <c r="D77" s="1"/>
      <c r="E77" s="1"/>
      <c r="F77" s="1"/>
      <c r="G77" s="1"/>
      <c r="H77" s="1"/>
      <c r="I77" s="1"/>
      <c r="J77" s="1"/>
      <c r="K77" s="1"/>
      <c r="L77" s="1"/>
      <c r="M77" s="1"/>
      <c r="N77" s="1"/>
      <c r="O77" s="1"/>
    </row>
    <row r="78" spans="1:15" ht="15.75" customHeight="1">
      <c r="A78" s="1"/>
      <c r="B78" s="1"/>
      <c r="C78" s="1"/>
      <c r="D78" s="1"/>
      <c r="E78" s="1"/>
      <c r="F78" s="1"/>
      <c r="G78" s="1"/>
      <c r="H78" s="1"/>
      <c r="I78" s="1"/>
      <c r="J78" s="1"/>
      <c r="K78" s="1"/>
      <c r="L78" s="1"/>
      <c r="M78" s="1"/>
      <c r="N78" s="1"/>
      <c r="O78" s="1"/>
    </row>
    <row r="79" spans="1:15" ht="15.75" customHeight="1">
      <c r="A79" s="1"/>
      <c r="B79" s="1"/>
      <c r="C79" s="1"/>
      <c r="D79" s="1"/>
      <c r="E79" s="1"/>
      <c r="F79" s="1"/>
      <c r="G79" s="1"/>
      <c r="H79" s="1"/>
      <c r="I79" s="1"/>
      <c r="J79" s="1"/>
      <c r="K79" s="1"/>
      <c r="L79" s="1"/>
      <c r="M79" s="1"/>
      <c r="N79" s="1"/>
      <c r="O79" s="1"/>
    </row>
    <row r="80" spans="1:15" ht="15.75" customHeight="1">
      <c r="A80" s="1"/>
      <c r="B80" s="1"/>
      <c r="C80" s="1"/>
      <c r="D80" s="1"/>
      <c r="E80" s="1"/>
      <c r="F80" s="1"/>
      <c r="G80" s="1"/>
      <c r="H80" s="1"/>
      <c r="I80" s="1"/>
      <c r="J80" s="1"/>
      <c r="K80" s="1"/>
      <c r="L80" s="1"/>
      <c r="M80" s="1"/>
      <c r="N80" s="1"/>
      <c r="O80" s="1"/>
    </row>
    <row r="81" spans="1:15" ht="15.75" customHeight="1">
      <c r="A81" s="1"/>
      <c r="B81" s="1"/>
      <c r="C81" s="1"/>
      <c r="D81" s="1"/>
      <c r="E81" s="1"/>
      <c r="F81" s="1"/>
      <c r="G81" s="1"/>
      <c r="H81" s="1"/>
      <c r="I81" s="1"/>
      <c r="J81" s="1"/>
      <c r="K81" s="1"/>
      <c r="L81" s="1"/>
      <c r="M81" s="1"/>
      <c r="N81" s="1"/>
      <c r="O81" s="1"/>
    </row>
    <row r="82" spans="1:15" ht="15.75" customHeight="1">
      <c r="A82" s="1"/>
      <c r="B82" s="1"/>
      <c r="C82" s="1"/>
      <c r="D82" s="1"/>
      <c r="E82" s="1"/>
      <c r="F82" s="1"/>
      <c r="G82" s="1"/>
      <c r="H82" s="1"/>
      <c r="I82" s="1"/>
      <c r="J82" s="1"/>
      <c r="K82" s="1"/>
      <c r="L82" s="1"/>
      <c r="M82" s="1"/>
      <c r="N82" s="1"/>
      <c r="O82" s="1"/>
    </row>
    <row r="83" spans="1:15" ht="15.75" customHeight="1">
      <c r="A83" s="1"/>
      <c r="B83" s="1"/>
      <c r="C83" s="1"/>
      <c r="D83" s="1"/>
      <c r="E83" s="1"/>
      <c r="F83" s="1"/>
      <c r="G83" s="1"/>
      <c r="H83" s="1"/>
      <c r="I83" s="1"/>
      <c r="J83" s="1"/>
      <c r="K83" s="1"/>
      <c r="L83" s="1"/>
      <c r="M83" s="1"/>
      <c r="N83" s="1"/>
      <c r="O83" s="1"/>
    </row>
    <row r="84" spans="1:15" ht="15.75" customHeight="1">
      <c r="A84" s="1"/>
      <c r="B84" s="1"/>
      <c r="C84" s="1"/>
      <c r="D84" s="1"/>
      <c r="E84" s="1"/>
      <c r="F84" s="1"/>
      <c r="G84" s="1"/>
      <c r="H84" s="1"/>
      <c r="I84" s="1"/>
      <c r="J84" s="1"/>
      <c r="K84" s="1"/>
      <c r="L84" s="1"/>
      <c r="M84" s="1"/>
      <c r="N84" s="1"/>
      <c r="O84" s="1"/>
    </row>
    <row r="85" spans="1:15" ht="15.75" customHeight="1">
      <c r="A85" s="1"/>
      <c r="B85" s="1"/>
      <c r="C85" s="1"/>
      <c r="D85" s="1"/>
      <c r="E85" s="1"/>
      <c r="F85" s="1"/>
      <c r="G85" s="1"/>
      <c r="H85" s="1"/>
      <c r="I85" s="1"/>
      <c r="J85" s="1"/>
      <c r="K85" s="1"/>
      <c r="L85" s="1"/>
      <c r="M85" s="1"/>
      <c r="N85" s="1"/>
      <c r="O85" s="1"/>
    </row>
    <row r="86" spans="1:15" ht="15.75" customHeight="1">
      <c r="A86" s="1"/>
      <c r="B86" s="1"/>
      <c r="C86" s="1"/>
      <c r="D86" s="1"/>
      <c r="E86" s="1"/>
      <c r="F86" s="1"/>
      <c r="G86" s="1"/>
      <c r="H86" s="1"/>
      <c r="I86" s="1"/>
      <c r="J86" s="1"/>
      <c r="K86" s="1"/>
      <c r="L86" s="1"/>
      <c r="M86" s="1"/>
      <c r="N86" s="1"/>
      <c r="O86" s="1"/>
    </row>
    <row r="87" spans="1:15" ht="15.75" customHeight="1">
      <c r="A87" s="1"/>
      <c r="B87" s="1"/>
      <c r="C87" s="1"/>
      <c r="D87" s="1"/>
      <c r="E87" s="1"/>
      <c r="F87" s="1"/>
      <c r="G87" s="1"/>
      <c r="H87" s="1"/>
      <c r="I87" s="1"/>
      <c r="J87" s="1"/>
      <c r="K87" s="1"/>
      <c r="L87" s="1"/>
      <c r="M87" s="1"/>
      <c r="N87" s="1"/>
      <c r="O87" s="1"/>
    </row>
    <row r="88" spans="1:15" ht="15.75" customHeight="1">
      <c r="A88" s="1"/>
      <c r="B88" s="1"/>
      <c r="C88" s="1"/>
      <c r="D88" s="1"/>
      <c r="E88" s="1"/>
      <c r="F88" s="1"/>
      <c r="G88" s="1"/>
      <c r="H88" s="1"/>
      <c r="I88" s="1"/>
      <c r="J88" s="1"/>
      <c r="K88" s="1"/>
      <c r="L88" s="1"/>
      <c r="M88" s="1"/>
      <c r="N88" s="1"/>
      <c r="O88" s="1"/>
    </row>
    <row r="89" spans="1:15" ht="15.75" customHeight="1">
      <c r="A89" s="1"/>
      <c r="B89" s="1"/>
      <c r="C89" s="1"/>
      <c r="D89" s="1"/>
      <c r="E89" s="1"/>
      <c r="F89" s="1"/>
      <c r="G89" s="1"/>
      <c r="H89" s="1"/>
      <c r="I89" s="1"/>
      <c r="J89" s="1"/>
      <c r="K89" s="1"/>
      <c r="L89" s="1"/>
      <c r="M89" s="1"/>
      <c r="N89" s="1"/>
      <c r="O89" s="1"/>
    </row>
    <row r="90" spans="1:15" ht="15.75" customHeight="1">
      <c r="A90" s="1"/>
      <c r="B90" s="1"/>
      <c r="C90" s="1"/>
      <c r="D90" s="1"/>
      <c r="E90" s="1"/>
      <c r="F90" s="1"/>
      <c r="G90" s="1"/>
      <c r="H90" s="1"/>
      <c r="I90" s="1"/>
      <c r="J90" s="1"/>
      <c r="K90" s="1"/>
      <c r="L90" s="1"/>
      <c r="M90" s="1"/>
      <c r="N90" s="1"/>
      <c r="O90" s="1"/>
    </row>
    <row r="91" spans="1:15" ht="15.75" customHeight="1">
      <c r="A91" s="1"/>
      <c r="B91" s="1"/>
      <c r="C91" s="1"/>
      <c r="D91" s="1"/>
      <c r="E91" s="1"/>
      <c r="F91" s="1"/>
      <c r="G91" s="1"/>
      <c r="H91" s="1"/>
      <c r="I91" s="1"/>
      <c r="J91" s="1"/>
      <c r="K91" s="1"/>
      <c r="L91" s="1"/>
      <c r="M91" s="1"/>
      <c r="N91" s="1"/>
      <c r="O91" s="1"/>
    </row>
    <row r="92" spans="1:15" ht="15.75" customHeight="1">
      <c r="A92" s="1"/>
      <c r="B92" s="1"/>
      <c r="C92" s="1"/>
      <c r="D92" s="1"/>
      <c r="E92" s="1"/>
      <c r="F92" s="1"/>
      <c r="G92" s="1"/>
      <c r="H92" s="1"/>
      <c r="I92" s="1"/>
      <c r="J92" s="1"/>
      <c r="K92" s="1"/>
      <c r="L92" s="1"/>
      <c r="M92" s="1"/>
      <c r="N92" s="1"/>
      <c r="O92" s="1"/>
    </row>
    <row r="93" spans="1:15" ht="15.75" customHeight="1">
      <c r="A93" s="1"/>
      <c r="B93" s="1"/>
      <c r="C93" s="1"/>
      <c r="D93" s="1"/>
      <c r="E93" s="1"/>
      <c r="F93" s="1"/>
      <c r="G93" s="1"/>
      <c r="H93" s="1"/>
      <c r="I93" s="1"/>
      <c r="J93" s="1"/>
      <c r="K93" s="1"/>
      <c r="L93" s="1"/>
      <c r="M93" s="1"/>
      <c r="N93" s="1"/>
      <c r="O93" s="1"/>
    </row>
    <row r="94" spans="1:15" ht="15.75" customHeight="1">
      <c r="A94" s="1"/>
      <c r="B94" s="1"/>
      <c r="C94" s="1"/>
      <c r="D94" s="1"/>
      <c r="E94" s="1"/>
      <c r="F94" s="1"/>
      <c r="G94" s="1"/>
      <c r="H94" s="1"/>
      <c r="I94" s="1"/>
      <c r="J94" s="1"/>
      <c r="K94" s="1"/>
      <c r="L94" s="1"/>
      <c r="M94" s="1"/>
      <c r="N94" s="1"/>
      <c r="O94" s="1"/>
    </row>
    <row r="95" spans="1:15" ht="15.75" customHeight="1">
      <c r="A95" s="1"/>
      <c r="B95" s="1"/>
      <c r="C95" s="1"/>
      <c r="D95" s="1"/>
      <c r="E95" s="1"/>
      <c r="F95" s="1"/>
      <c r="G95" s="1"/>
      <c r="H95" s="1"/>
      <c r="I95" s="1"/>
      <c r="J95" s="1"/>
      <c r="K95" s="1"/>
      <c r="L95" s="1"/>
      <c r="M95" s="1"/>
      <c r="N95" s="1"/>
      <c r="O95" s="1"/>
    </row>
    <row r="96" spans="1:15" ht="15.75" customHeight="1">
      <c r="A96" s="1"/>
      <c r="B96" s="1"/>
      <c r="C96" s="1"/>
      <c r="D96" s="1"/>
      <c r="E96" s="1"/>
      <c r="F96" s="1"/>
      <c r="G96" s="1"/>
      <c r="H96" s="1"/>
      <c r="I96" s="1"/>
      <c r="J96" s="1"/>
      <c r="K96" s="1"/>
      <c r="L96" s="1"/>
      <c r="M96" s="1"/>
      <c r="N96" s="1"/>
      <c r="O96" s="1"/>
    </row>
    <row r="97" spans="1:15" ht="15.75" customHeight="1">
      <c r="A97" s="1"/>
      <c r="B97" s="1"/>
      <c r="C97" s="1"/>
      <c r="D97" s="1"/>
      <c r="E97" s="1"/>
      <c r="F97" s="1"/>
      <c r="G97" s="1"/>
      <c r="H97" s="1"/>
      <c r="I97" s="1"/>
      <c r="J97" s="1"/>
      <c r="K97" s="1"/>
      <c r="L97" s="1"/>
      <c r="M97" s="1"/>
      <c r="N97" s="1"/>
      <c r="O97" s="1"/>
    </row>
    <row r="98" spans="1:15" ht="15.75" customHeight="1">
      <c r="A98" s="1"/>
      <c r="B98" s="1"/>
      <c r="C98" s="1"/>
      <c r="D98" s="1"/>
      <c r="E98" s="1"/>
      <c r="F98" s="1"/>
      <c r="G98" s="1"/>
      <c r="H98" s="1"/>
      <c r="I98" s="1"/>
      <c r="J98" s="1"/>
      <c r="K98" s="1"/>
      <c r="L98" s="1"/>
      <c r="M98" s="1"/>
      <c r="N98" s="1"/>
      <c r="O98" s="1"/>
    </row>
    <row r="99" spans="1:15" ht="15.75" customHeight="1">
      <c r="A99" s="1"/>
      <c r="B99" s="1"/>
      <c r="C99" s="1"/>
      <c r="D99" s="1"/>
      <c r="E99" s="1"/>
      <c r="F99" s="1"/>
      <c r="G99" s="1"/>
      <c r="H99" s="1"/>
      <c r="I99" s="1"/>
      <c r="J99" s="1"/>
      <c r="K99" s="1"/>
      <c r="L99" s="1"/>
      <c r="M99" s="1"/>
      <c r="N99" s="1"/>
      <c r="O99" s="1"/>
    </row>
    <row r="100" spans="1:15" ht="15.75" customHeight="1">
      <c r="A100" s="1"/>
      <c r="B100" s="1"/>
      <c r="C100" s="1"/>
      <c r="D100" s="1"/>
      <c r="E100" s="1"/>
      <c r="F100" s="1"/>
      <c r="G100" s="1"/>
      <c r="H100" s="1"/>
      <c r="I100" s="1"/>
      <c r="J100" s="1"/>
      <c r="K100" s="1"/>
      <c r="L100" s="1"/>
      <c r="M100" s="1"/>
      <c r="N100" s="1"/>
      <c r="O100" s="1"/>
    </row>
    <row r="101" spans="1:15" ht="15.75" customHeight="1">
      <c r="A101" s="1"/>
      <c r="B101" s="1"/>
      <c r="C101" s="1"/>
      <c r="D101" s="1"/>
      <c r="E101" s="1"/>
      <c r="F101" s="1"/>
      <c r="G101" s="1"/>
      <c r="H101" s="1"/>
      <c r="I101" s="1"/>
      <c r="J101" s="1"/>
      <c r="K101" s="1"/>
      <c r="L101" s="1"/>
      <c r="M101" s="1"/>
      <c r="N101" s="1"/>
      <c r="O101" s="1"/>
    </row>
    <row r="102" spans="1:15" ht="15.75" customHeight="1">
      <c r="A102" s="1"/>
      <c r="B102" s="1"/>
      <c r="C102" s="1"/>
      <c r="D102" s="1"/>
      <c r="E102" s="1"/>
      <c r="F102" s="1"/>
      <c r="G102" s="1"/>
      <c r="H102" s="1"/>
      <c r="I102" s="1"/>
      <c r="J102" s="1"/>
      <c r="K102" s="1"/>
      <c r="L102" s="1"/>
      <c r="M102" s="1"/>
      <c r="N102" s="1"/>
      <c r="O102" s="1"/>
    </row>
    <row r="103" spans="1:15" ht="15.75" customHeight="1">
      <c r="A103" s="1"/>
      <c r="B103" s="1"/>
      <c r="C103" s="1"/>
      <c r="D103" s="1"/>
      <c r="E103" s="1"/>
      <c r="F103" s="1"/>
      <c r="G103" s="1"/>
      <c r="H103" s="1"/>
      <c r="I103" s="1"/>
      <c r="J103" s="1"/>
      <c r="K103" s="1"/>
      <c r="L103" s="1"/>
      <c r="M103" s="1"/>
      <c r="N103" s="1"/>
      <c r="O103" s="1"/>
    </row>
    <row r="104" spans="1:15" ht="15.75" customHeight="1">
      <c r="A104" s="1"/>
      <c r="B104" s="1"/>
      <c r="C104" s="1"/>
      <c r="D104" s="1"/>
      <c r="E104" s="1"/>
      <c r="F104" s="1"/>
      <c r="G104" s="1"/>
      <c r="H104" s="1"/>
      <c r="I104" s="1"/>
      <c r="J104" s="1"/>
      <c r="K104" s="1"/>
      <c r="L104" s="1"/>
      <c r="M104" s="1"/>
      <c r="N104" s="1"/>
      <c r="O104" s="1"/>
    </row>
    <row r="105" spans="1:15" ht="15.75" customHeight="1">
      <c r="A105" s="1"/>
      <c r="B105" s="1"/>
      <c r="C105" s="1"/>
      <c r="D105" s="1"/>
      <c r="E105" s="1"/>
      <c r="F105" s="1"/>
      <c r="G105" s="1"/>
      <c r="H105" s="1"/>
      <c r="I105" s="1"/>
      <c r="J105" s="1"/>
      <c r="K105" s="1"/>
      <c r="L105" s="1"/>
      <c r="M105" s="1"/>
      <c r="N105" s="1"/>
      <c r="O105" s="1"/>
    </row>
    <row r="106" spans="1:15" ht="15.75" customHeight="1">
      <c r="A106" s="1"/>
      <c r="B106" s="1"/>
      <c r="C106" s="1"/>
      <c r="D106" s="1"/>
      <c r="E106" s="1"/>
      <c r="F106" s="1"/>
      <c r="G106" s="1"/>
      <c r="H106" s="1"/>
      <c r="I106" s="1"/>
      <c r="J106" s="1"/>
      <c r="K106" s="1"/>
      <c r="L106" s="1"/>
      <c r="M106" s="1"/>
      <c r="N106" s="1"/>
      <c r="O106" s="1"/>
    </row>
    <row r="107" spans="1:15" ht="15.75" customHeight="1">
      <c r="A107" s="1"/>
      <c r="B107" s="1"/>
      <c r="C107" s="1"/>
      <c r="D107" s="1"/>
      <c r="E107" s="1"/>
      <c r="F107" s="1"/>
      <c r="G107" s="1"/>
      <c r="H107" s="1"/>
      <c r="I107" s="1"/>
      <c r="J107" s="1"/>
      <c r="K107" s="1"/>
      <c r="L107" s="1"/>
      <c r="M107" s="1"/>
      <c r="N107" s="1"/>
      <c r="O107" s="1"/>
    </row>
    <row r="108" spans="1:15" ht="15.75" customHeight="1">
      <c r="A108" s="1"/>
      <c r="B108" s="1"/>
      <c r="C108" s="1"/>
      <c r="D108" s="1"/>
      <c r="E108" s="1"/>
      <c r="F108" s="1"/>
      <c r="G108" s="1"/>
      <c r="H108" s="1"/>
      <c r="I108" s="1"/>
      <c r="J108" s="1"/>
      <c r="K108" s="1"/>
      <c r="L108" s="1"/>
      <c r="M108" s="1"/>
      <c r="N108" s="1"/>
      <c r="O108" s="1"/>
    </row>
    <row r="109" spans="1:15" ht="15.75" customHeight="1">
      <c r="A109" s="1"/>
      <c r="B109" s="1"/>
      <c r="C109" s="1"/>
      <c r="D109" s="1"/>
      <c r="E109" s="1"/>
      <c r="F109" s="1"/>
      <c r="G109" s="1"/>
      <c r="H109" s="1"/>
      <c r="I109" s="1"/>
      <c r="J109" s="1"/>
      <c r="K109" s="1"/>
      <c r="L109" s="1"/>
      <c r="M109" s="1"/>
      <c r="N109" s="1"/>
      <c r="O109" s="1"/>
    </row>
    <row r="110" spans="1:15" ht="15.75" customHeight="1">
      <c r="A110" s="1"/>
      <c r="B110" s="1"/>
      <c r="C110" s="1"/>
      <c r="D110" s="1"/>
      <c r="E110" s="1"/>
      <c r="F110" s="1"/>
      <c r="G110" s="1"/>
      <c r="H110" s="1"/>
      <c r="I110" s="1"/>
      <c r="J110" s="1"/>
      <c r="K110" s="1"/>
      <c r="L110" s="1"/>
      <c r="M110" s="1"/>
      <c r="N110" s="1"/>
      <c r="O110" s="1"/>
    </row>
    <row r="111" spans="1:15" ht="15.75" customHeight="1">
      <c r="A111" s="1"/>
      <c r="B111" s="1"/>
      <c r="C111" s="1"/>
      <c r="D111" s="1"/>
      <c r="E111" s="1"/>
      <c r="F111" s="1"/>
      <c r="G111" s="1"/>
      <c r="H111" s="1"/>
      <c r="I111" s="1"/>
      <c r="J111" s="1"/>
      <c r="K111" s="1"/>
      <c r="L111" s="1"/>
      <c r="M111" s="1"/>
      <c r="N111" s="1"/>
      <c r="O111" s="1"/>
    </row>
    <row r="112" spans="1:15" ht="15.75" customHeight="1">
      <c r="A112" s="1"/>
      <c r="B112" s="1"/>
      <c r="C112" s="1"/>
      <c r="D112" s="1"/>
      <c r="E112" s="1"/>
      <c r="F112" s="1"/>
      <c r="G112" s="1"/>
      <c r="H112" s="1"/>
      <c r="I112" s="1"/>
      <c r="J112" s="1"/>
      <c r="K112" s="1"/>
      <c r="L112" s="1"/>
      <c r="M112" s="1"/>
      <c r="N112" s="1"/>
      <c r="O112" s="1"/>
    </row>
    <row r="113" spans="1:15" ht="15.75" customHeight="1">
      <c r="A113" s="1"/>
      <c r="B113" s="1"/>
      <c r="C113" s="1"/>
      <c r="D113" s="1"/>
      <c r="E113" s="1"/>
      <c r="F113" s="1"/>
      <c r="G113" s="1"/>
      <c r="H113" s="1"/>
      <c r="I113" s="1"/>
      <c r="J113" s="1"/>
      <c r="K113" s="1"/>
      <c r="L113" s="1"/>
      <c r="M113" s="1"/>
      <c r="N113" s="1"/>
      <c r="O113" s="1"/>
    </row>
    <row r="114" spans="1:15" ht="15.75" customHeight="1">
      <c r="A114" s="1"/>
      <c r="B114" s="1"/>
      <c r="C114" s="1"/>
      <c r="D114" s="1"/>
      <c r="E114" s="1"/>
      <c r="F114" s="1"/>
      <c r="G114" s="1"/>
      <c r="H114" s="1"/>
      <c r="I114" s="1"/>
      <c r="J114" s="1"/>
      <c r="K114" s="1"/>
      <c r="L114" s="1"/>
      <c r="M114" s="1"/>
      <c r="N114" s="1"/>
      <c r="O114" s="1"/>
    </row>
    <row r="115" spans="1:15" ht="15.75" customHeight="1">
      <c r="A115" s="1"/>
      <c r="B115" s="1"/>
      <c r="C115" s="1"/>
      <c r="D115" s="1"/>
      <c r="E115" s="1"/>
      <c r="F115" s="1"/>
      <c r="G115" s="1"/>
      <c r="H115" s="1"/>
      <c r="I115" s="1"/>
      <c r="J115" s="1"/>
      <c r="K115" s="1"/>
      <c r="L115" s="1"/>
      <c r="M115" s="1"/>
      <c r="N115" s="1"/>
      <c r="O115" s="1"/>
    </row>
    <row r="116" spans="1:15" ht="15.75" customHeight="1">
      <c r="A116" s="1"/>
      <c r="B116" s="1"/>
      <c r="C116" s="1"/>
      <c r="D116" s="1"/>
      <c r="E116" s="1"/>
      <c r="F116" s="1"/>
      <c r="G116" s="1"/>
      <c r="H116" s="1"/>
      <c r="I116" s="1"/>
      <c r="J116" s="1"/>
      <c r="K116" s="1"/>
      <c r="L116" s="1"/>
      <c r="M116" s="1"/>
      <c r="N116" s="1"/>
      <c r="O116" s="1"/>
    </row>
    <row r="117" spans="1:15" ht="15.75" customHeight="1"/>
    <row r="118" spans="1:15" ht="15.75" customHeight="1"/>
    <row r="119" spans="1:15" ht="15.75" customHeight="1"/>
    <row r="120" spans="1:15" ht="15.75" customHeight="1"/>
    <row r="121" spans="1:15" ht="15.75" customHeight="1"/>
    <row r="122" spans="1:15" ht="15.75" customHeight="1"/>
    <row r="123" spans="1:15" ht="15.75" customHeight="1"/>
    <row r="124" spans="1:15" ht="15.75" customHeight="1"/>
    <row r="125" spans="1:15" ht="15.75" customHeight="1"/>
    <row r="126" spans="1:15" ht="15.75" customHeight="1"/>
    <row r="127" spans="1:15" ht="15.75" customHeight="1"/>
    <row r="128" spans="1: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D50:E50"/>
    <mergeCell ref="A52:G52"/>
    <mergeCell ref="A2:F2"/>
    <mergeCell ref="D46:E46"/>
    <mergeCell ref="D47:E47"/>
    <mergeCell ref="D48:E48"/>
    <mergeCell ref="D49:E49"/>
  </mergeCells>
  <hyperlinks>
    <hyperlink ref="J10" r:id="rId1" xr:uid="{00000000-0004-0000-0B00-000000000000}"/>
  </hyperlinks>
  <pageMargins left="0.7" right="0.7" top="0.75" bottom="0.75" header="0" footer="0"/>
  <pageSetup orientation="landscape"/>
  <drawing r:id="rId2"/>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B00-000000000000}">
          <x14:formula1>
            <xm:f>Données!$D$37:$D$39</xm:f>
          </x14:formula1>
          <xm:sqref>A13:A44</xm:sqref>
        </x14:dataValidation>
        <x14:dataValidation type="list" allowBlank="1" showErrorMessage="1" xr:uid="{00000000-0002-0000-0B00-000001000000}">
          <x14:formula1>
            <xm:f>Données!$J$30:$J$33</xm:f>
          </x14:formula1>
          <xm:sqref>D13:D44</xm:sqref>
        </x14:dataValidation>
        <x14:dataValidation type="list" allowBlank="1" showErrorMessage="1" xr:uid="{00000000-0002-0000-0B00-000002000000}">
          <x14:formula1>
            <xm:f>Données!$J$37:$J$39</xm:f>
          </x14:formula1>
          <xm:sqref>E13:E44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A9C7E9"/>
  </sheetPr>
  <dimension ref="A1:Z1000"/>
  <sheetViews>
    <sheetView workbookViewId="0">
      <pane xSplit="7" ySplit="9" topLeftCell="H64" activePane="bottomRight" state="frozen"/>
      <selection pane="topRight" activeCell="H1" sqref="H1"/>
      <selection pane="bottomLeft" activeCell="A10" sqref="A10"/>
      <selection pane="bottomRight" activeCell="H19" sqref="H19"/>
    </sheetView>
  </sheetViews>
  <sheetFormatPr baseColWidth="10" defaultColWidth="11.125" defaultRowHeight="15" customHeight="1"/>
  <cols>
    <col min="1" max="1" width="8.5" customWidth="1"/>
    <col min="2" max="2" width="30.5" customWidth="1"/>
    <col min="3" max="3" width="18.5" customWidth="1"/>
    <col min="4" max="4" width="26.5" customWidth="1"/>
    <col min="5" max="5" width="36.375" customWidth="1"/>
    <col min="6" max="6" width="26.5" customWidth="1"/>
    <col min="7" max="7" width="25.5" customWidth="1"/>
    <col min="8" max="14" width="16.5" customWidth="1"/>
    <col min="15" max="15" width="7.125" customWidth="1"/>
    <col min="16" max="26" width="8.625" customWidth="1"/>
  </cols>
  <sheetData>
    <row r="1" spans="1:26" ht="15.75" customHeight="1"/>
    <row r="2" spans="1:26" ht="15.75" customHeight="1">
      <c r="A2" s="571" t="s">
        <v>385</v>
      </c>
      <c r="B2" s="516"/>
      <c r="C2" s="516"/>
      <c r="D2" s="516"/>
      <c r="E2" s="516"/>
      <c r="F2" s="516"/>
      <c r="G2" s="517"/>
    </row>
    <row r="3" spans="1:26" ht="15.75" customHeight="1">
      <c r="A3" s="6"/>
      <c r="B3" s="6"/>
      <c r="C3" s="6"/>
      <c r="D3" s="6"/>
      <c r="E3" s="6"/>
      <c r="F3" s="6"/>
      <c r="G3" s="6"/>
      <c r="H3" s="6"/>
      <c r="I3" s="6"/>
      <c r="J3" s="6"/>
      <c r="K3" s="6"/>
      <c r="L3" s="6"/>
      <c r="M3" s="6"/>
      <c r="N3" s="6"/>
      <c r="O3" s="6"/>
      <c r="P3" s="6"/>
      <c r="Q3" s="6"/>
      <c r="R3" s="6"/>
      <c r="S3" s="6"/>
      <c r="T3" s="6"/>
      <c r="U3" s="6"/>
      <c r="V3" s="6"/>
      <c r="W3" s="6"/>
      <c r="X3" s="6"/>
      <c r="Y3" s="6"/>
      <c r="Z3" s="6"/>
    </row>
    <row r="4" spans="1:26" ht="15.75" customHeight="1">
      <c r="A4" s="192"/>
      <c r="B4" s="3" t="s">
        <v>785</v>
      </c>
      <c r="C4" s="192"/>
      <c r="D4" s="192"/>
      <c r="E4" s="192"/>
      <c r="F4" s="192"/>
      <c r="G4" s="192"/>
      <c r="H4" s="192"/>
      <c r="I4" s="192"/>
      <c r="J4" s="192"/>
      <c r="K4" s="192"/>
      <c r="L4" s="192"/>
      <c r="M4" s="192"/>
      <c r="N4" s="192"/>
      <c r="O4" s="192"/>
      <c r="P4" s="192"/>
      <c r="Q4" s="192"/>
      <c r="R4" s="192"/>
      <c r="S4" s="192"/>
      <c r="T4" s="192"/>
      <c r="U4" s="192"/>
      <c r="V4" s="192"/>
      <c r="W4" s="192"/>
      <c r="X4" s="192"/>
      <c r="Y4" s="192"/>
      <c r="Z4" s="192"/>
    </row>
    <row r="5" spans="1:26" ht="15.75" customHeight="1">
      <c r="A5" s="12"/>
      <c r="B5" s="33" t="s">
        <v>111</v>
      </c>
      <c r="C5" s="12"/>
      <c r="D5" s="12"/>
      <c r="E5" s="12"/>
      <c r="F5" s="12"/>
      <c r="G5" s="12"/>
      <c r="H5" s="12"/>
      <c r="I5" s="12"/>
      <c r="J5" s="12"/>
      <c r="K5" s="12"/>
      <c r="L5" s="12"/>
      <c r="M5" s="12"/>
      <c r="N5" s="12"/>
      <c r="O5" s="12"/>
      <c r="P5" s="12"/>
      <c r="Q5" s="12"/>
      <c r="R5" s="12"/>
      <c r="S5" s="12"/>
      <c r="T5" s="12"/>
      <c r="U5" s="12"/>
      <c r="V5" s="12"/>
      <c r="W5" s="12"/>
      <c r="X5" s="12"/>
      <c r="Y5" s="12"/>
      <c r="Z5" s="12"/>
    </row>
    <row r="6" spans="1:26" ht="15.75" customHeight="1">
      <c r="A6" s="12"/>
      <c r="B6" s="34" t="s">
        <v>112</v>
      </c>
      <c r="C6" s="12"/>
      <c r="D6" s="12"/>
      <c r="E6" s="12"/>
      <c r="F6" s="12"/>
      <c r="G6" s="12"/>
      <c r="H6" s="12"/>
      <c r="I6" s="12"/>
      <c r="J6" s="12"/>
      <c r="K6" s="12"/>
      <c r="L6" s="12"/>
      <c r="M6" s="12"/>
      <c r="N6" s="12"/>
      <c r="O6" s="12"/>
      <c r="P6" s="12"/>
      <c r="Q6" s="12"/>
      <c r="R6" s="12"/>
      <c r="S6" s="12"/>
      <c r="T6" s="12"/>
      <c r="U6" s="12"/>
      <c r="V6" s="12"/>
      <c r="W6" s="12"/>
      <c r="X6" s="12"/>
      <c r="Y6" s="12"/>
      <c r="Z6" s="12"/>
    </row>
    <row r="7" spans="1:26" ht="15.75" customHeight="1">
      <c r="A7" s="12"/>
      <c r="B7" s="3" t="s">
        <v>166</v>
      </c>
      <c r="C7" s="12"/>
      <c r="D7" s="12"/>
      <c r="E7" s="12"/>
      <c r="F7" s="12"/>
      <c r="G7" s="12"/>
      <c r="H7" s="12"/>
      <c r="I7" s="12"/>
      <c r="J7" s="12"/>
      <c r="K7" s="12"/>
      <c r="L7" s="12"/>
      <c r="M7" s="12"/>
      <c r="N7" s="12"/>
      <c r="O7" s="12"/>
      <c r="P7" s="12"/>
      <c r="Q7" s="12"/>
      <c r="R7" s="12"/>
      <c r="S7" s="12"/>
      <c r="T7" s="12"/>
      <c r="U7" s="12"/>
      <c r="V7" s="12"/>
      <c r="W7" s="12"/>
      <c r="X7" s="12"/>
      <c r="Y7" s="12"/>
      <c r="Z7" s="12"/>
    </row>
    <row r="8" spans="1:26" ht="15.75" customHeight="1"/>
    <row r="9" spans="1:26" ht="60" customHeight="1">
      <c r="A9" s="61" t="s">
        <v>114</v>
      </c>
      <c r="B9" s="62" t="s">
        <v>386</v>
      </c>
      <c r="C9" s="62" t="s">
        <v>240</v>
      </c>
      <c r="D9" s="62" t="s">
        <v>167</v>
      </c>
      <c r="E9" s="62" t="s">
        <v>173</v>
      </c>
      <c r="F9" s="62" t="s">
        <v>174</v>
      </c>
      <c r="G9" s="62" t="s">
        <v>387</v>
      </c>
    </row>
    <row r="10" spans="1:26" ht="4.5" customHeight="1">
      <c r="A10" s="6"/>
      <c r="B10" s="11"/>
      <c r="C10" s="6"/>
      <c r="D10" s="6"/>
      <c r="E10" s="6"/>
      <c r="F10" s="6"/>
      <c r="G10" s="6"/>
      <c r="H10" s="6"/>
      <c r="I10" s="6"/>
      <c r="J10" s="6"/>
      <c r="K10" s="6"/>
      <c r="L10" s="6"/>
      <c r="M10" s="6"/>
      <c r="N10" s="6"/>
      <c r="O10" s="6"/>
      <c r="P10" s="6"/>
      <c r="Q10" s="6"/>
      <c r="R10" s="6"/>
      <c r="S10" s="6"/>
      <c r="T10" s="6"/>
      <c r="U10" s="6"/>
      <c r="V10" s="6"/>
      <c r="W10" s="6"/>
      <c r="X10" s="6"/>
      <c r="Y10" s="6"/>
      <c r="Z10" s="6"/>
    </row>
    <row r="11" spans="1:26" ht="18" customHeight="1">
      <c r="A11" s="6"/>
      <c r="B11" s="690" t="s">
        <v>388</v>
      </c>
      <c r="C11" s="521"/>
      <c r="D11" s="521"/>
      <c r="E11" s="521"/>
      <c r="F11" s="521"/>
      <c r="G11" s="519"/>
      <c r="H11" s="6"/>
      <c r="I11" s="6"/>
      <c r="J11" s="6"/>
      <c r="K11" s="6"/>
      <c r="L11" s="6"/>
      <c r="M11" s="6"/>
      <c r="N11" s="6"/>
      <c r="O11" s="6"/>
      <c r="P11" s="6"/>
      <c r="Q11" s="6"/>
      <c r="R11" s="6"/>
      <c r="S11" s="6"/>
      <c r="T11" s="6"/>
      <c r="U11" s="6"/>
      <c r="V11" s="6"/>
      <c r="W11" s="6"/>
      <c r="X11" s="6"/>
      <c r="Y11" s="6"/>
      <c r="Z11" s="6"/>
    </row>
    <row r="12" spans="1:26" ht="4.5" customHeight="1">
      <c r="A12" s="6"/>
      <c r="B12" s="11"/>
      <c r="C12" s="6"/>
      <c r="D12" s="6"/>
      <c r="E12" s="6"/>
      <c r="F12" s="6"/>
      <c r="G12" s="6"/>
      <c r="H12" s="6"/>
      <c r="I12" s="6"/>
      <c r="J12" s="6"/>
      <c r="K12" s="6"/>
      <c r="L12" s="6"/>
      <c r="M12" s="6"/>
      <c r="N12" s="6"/>
      <c r="O12" s="6"/>
      <c r="P12" s="6"/>
      <c r="Q12" s="6"/>
      <c r="R12" s="6"/>
      <c r="S12" s="6"/>
      <c r="T12" s="6"/>
      <c r="U12" s="6"/>
      <c r="V12" s="6"/>
      <c r="W12" s="6"/>
      <c r="X12" s="6"/>
      <c r="Y12" s="6"/>
      <c r="Z12" s="6"/>
    </row>
    <row r="13" spans="1:26" ht="15" customHeight="1">
      <c r="A13" s="75" t="s">
        <v>136</v>
      </c>
      <c r="B13" s="104" t="s">
        <v>278</v>
      </c>
      <c r="C13" s="104" t="s">
        <v>139</v>
      </c>
      <c r="D13" s="105"/>
      <c r="E13" s="73"/>
      <c r="F13" s="73"/>
      <c r="G13" s="376">
        <v>40</v>
      </c>
    </row>
    <row r="14" spans="1:26" ht="15" customHeight="1">
      <c r="A14" s="75"/>
      <c r="B14" s="104"/>
      <c r="C14" s="104"/>
      <c r="D14" s="105"/>
      <c r="E14" s="105"/>
      <c r="F14" s="105"/>
      <c r="G14" s="376"/>
    </row>
    <row r="15" spans="1:26" ht="15" customHeight="1">
      <c r="A15" s="75"/>
      <c r="B15" s="104"/>
      <c r="C15" s="104"/>
      <c r="D15" s="105"/>
      <c r="E15" s="105"/>
      <c r="F15" s="105"/>
      <c r="G15" s="376"/>
    </row>
    <row r="16" spans="1:26" ht="15" customHeight="1">
      <c r="A16" s="75"/>
      <c r="B16" s="104"/>
      <c r="C16" s="104"/>
      <c r="D16" s="105"/>
      <c r="E16" s="105"/>
      <c r="F16" s="105"/>
      <c r="G16" s="376"/>
    </row>
    <row r="17" spans="1:15" ht="15" customHeight="1">
      <c r="A17" s="75"/>
      <c r="B17" s="104"/>
      <c r="C17" s="104"/>
      <c r="D17" s="105"/>
      <c r="E17" s="105"/>
      <c r="F17" s="105"/>
      <c r="G17" s="376"/>
    </row>
    <row r="18" spans="1:15" ht="15" customHeight="1">
      <c r="A18" s="75"/>
      <c r="B18" s="104"/>
      <c r="C18" s="104"/>
      <c r="D18" s="105"/>
      <c r="E18" s="105"/>
      <c r="F18" s="105"/>
      <c r="G18" s="376"/>
      <c r="I18" s="1"/>
    </row>
    <row r="19" spans="1:15" ht="15" customHeight="1">
      <c r="A19" s="75"/>
      <c r="B19" s="104"/>
      <c r="C19" s="104"/>
      <c r="D19" s="105"/>
      <c r="E19" s="105"/>
      <c r="F19" s="105"/>
      <c r="G19" s="376"/>
      <c r="I19" s="1"/>
    </row>
    <row r="20" spans="1:15" ht="15" customHeight="1">
      <c r="A20" s="75"/>
      <c r="B20" s="104"/>
      <c r="C20" s="104"/>
      <c r="D20" s="105"/>
      <c r="E20" s="105"/>
      <c r="F20" s="105"/>
      <c r="G20" s="376"/>
      <c r="I20" s="1"/>
    </row>
    <row r="21" spans="1:15" ht="15" customHeight="1">
      <c r="A21" s="75"/>
      <c r="B21" s="104"/>
      <c r="C21" s="104"/>
      <c r="D21" s="105"/>
      <c r="E21" s="105"/>
      <c r="F21" s="105"/>
      <c r="G21" s="376"/>
    </row>
    <row r="22" spans="1:15" ht="15" customHeight="1">
      <c r="A22" s="75"/>
      <c r="B22" s="104"/>
      <c r="C22" s="104"/>
      <c r="D22" s="105"/>
      <c r="E22" s="105"/>
      <c r="F22" s="105"/>
      <c r="G22" s="376"/>
    </row>
    <row r="23" spans="1:15" ht="15" customHeight="1">
      <c r="A23" s="75"/>
      <c r="B23" s="104"/>
      <c r="C23" s="104"/>
      <c r="D23" s="105"/>
      <c r="E23" s="105"/>
      <c r="F23" s="105"/>
      <c r="G23" s="376"/>
    </row>
    <row r="24" spans="1:15" ht="15" customHeight="1">
      <c r="A24" s="75"/>
      <c r="B24" s="104"/>
      <c r="C24" s="104"/>
      <c r="D24" s="105"/>
      <c r="E24" s="105"/>
      <c r="F24" s="105"/>
      <c r="G24" s="376"/>
    </row>
    <row r="25" spans="1:15" ht="15" customHeight="1">
      <c r="A25" s="75"/>
      <c r="B25" s="104"/>
      <c r="C25" s="104"/>
      <c r="D25" s="105"/>
      <c r="E25" s="105"/>
      <c r="F25" s="105"/>
      <c r="G25" s="376"/>
    </row>
    <row r="26" spans="1:15" ht="15" customHeight="1">
      <c r="A26" s="75"/>
      <c r="B26" s="104"/>
      <c r="C26" s="104"/>
      <c r="D26" s="105"/>
      <c r="E26" s="105"/>
      <c r="F26" s="105"/>
      <c r="G26" s="376"/>
    </row>
    <row r="27" spans="1:15" ht="15" customHeight="1">
      <c r="A27" s="75"/>
      <c r="B27" s="104"/>
      <c r="C27" s="104"/>
      <c r="D27" s="105"/>
      <c r="E27" s="105"/>
      <c r="F27" s="105"/>
      <c r="G27" s="376"/>
    </row>
    <row r="28" spans="1:15" ht="15" customHeight="1">
      <c r="A28" s="75"/>
      <c r="B28" s="104"/>
      <c r="C28" s="104"/>
      <c r="D28" s="105"/>
      <c r="E28" s="105"/>
      <c r="F28" s="105"/>
      <c r="G28" s="376"/>
      <c r="L28" s="113"/>
    </row>
    <row r="29" spans="1:15" ht="4.5" customHeight="1">
      <c r="B29" s="4"/>
      <c r="C29" s="4"/>
      <c r="D29" s="4"/>
      <c r="E29" s="4"/>
      <c r="F29" s="4"/>
      <c r="G29" s="4"/>
      <c r="H29" s="4"/>
      <c r="I29" s="4"/>
      <c r="J29" s="4"/>
      <c r="K29" s="4"/>
      <c r="L29" s="4"/>
      <c r="M29" s="4"/>
      <c r="N29" s="4"/>
      <c r="O29" s="4"/>
    </row>
    <row r="30" spans="1:15" ht="15" customHeight="1">
      <c r="E30" s="377" t="s">
        <v>392</v>
      </c>
      <c r="F30" s="378" t="s">
        <v>393</v>
      </c>
      <c r="G30" s="379">
        <f>SUMIF(B13:B28,"Hélicoptère",G13:G28)</f>
        <v>40</v>
      </c>
      <c r="H30" s="4"/>
      <c r="I30" s="4"/>
      <c r="J30" s="691"/>
      <c r="K30" s="541"/>
      <c r="L30" s="380"/>
    </row>
    <row r="31" spans="1:15" ht="15" customHeight="1">
      <c r="E31" s="381"/>
      <c r="F31" s="382" t="s">
        <v>394</v>
      </c>
      <c r="G31" s="383">
        <f>SUMIF(B13:B28,"Avion ULM classe 2",G13:G28)</f>
        <v>0</v>
      </c>
      <c r="H31" s="4"/>
      <c r="I31" s="4"/>
      <c r="J31" s="691"/>
      <c r="K31" s="541"/>
      <c r="L31" s="380"/>
    </row>
    <row r="32" spans="1:15" ht="15" customHeight="1">
      <c r="E32" s="381"/>
      <c r="F32" s="382" t="s">
        <v>395</v>
      </c>
      <c r="G32" s="383">
        <f>SUMIF(B13:B28,"Avion ULM classe 3",G13:G28)</f>
        <v>0</v>
      </c>
      <c r="H32" s="4"/>
      <c r="I32" s="4"/>
      <c r="J32" s="4"/>
      <c r="K32" s="4"/>
      <c r="L32" s="4"/>
      <c r="M32" s="380"/>
      <c r="N32" s="380"/>
      <c r="O32" s="380"/>
    </row>
    <row r="33" spans="1:26" ht="15" customHeight="1">
      <c r="E33" s="381"/>
      <c r="F33" s="384" t="s">
        <v>396</v>
      </c>
      <c r="G33" s="385">
        <f>SUMIF(B13:B28,"Drone",G13:G28)</f>
        <v>0</v>
      </c>
      <c r="H33" s="4"/>
      <c r="I33" s="4"/>
      <c r="J33" s="4"/>
      <c r="K33" s="4"/>
      <c r="L33" s="4"/>
      <c r="M33" s="380"/>
      <c r="N33" s="380"/>
      <c r="O33" s="380"/>
    </row>
    <row r="34" spans="1:26" ht="4.5" customHeight="1">
      <c r="A34" s="6"/>
      <c r="B34" s="11"/>
      <c r="C34" s="6"/>
      <c r="D34" s="6"/>
      <c r="E34" s="6"/>
      <c r="F34" s="6"/>
      <c r="G34" s="6"/>
      <c r="H34" s="6"/>
      <c r="I34" s="6"/>
      <c r="J34" s="6"/>
      <c r="K34" s="6"/>
      <c r="L34" s="6"/>
      <c r="M34" s="6"/>
      <c r="N34" s="6"/>
      <c r="O34" s="6"/>
      <c r="P34" s="6"/>
      <c r="Q34" s="6"/>
      <c r="R34" s="6"/>
      <c r="S34" s="6"/>
      <c r="T34" s="6"/>
      <c r="U34" s="6"/>
      <c r="V34" s="6"/>
      <c r="W34" s="6"/>
      <c r="X34" s="6"/>
      <c r="Y34" s="6"/>
      <c r="Z34" s="6"/>
    </row>
    <row r="35" spans="1:26" ht="18" customHeight="1">
      <c r="A35" s="6"/>
      <c r="B35" s="690" t="s">
        <v>397</v>
      </c>
      <c r="C35" s="521"/>
      <c r="D35" s="521"/>
      <c r="E35" s="521"/>
      <c r="F35" s="521"/>
      <c r="G35" s="519"/>
      <c r="H35" s="6"/>
      <c r="I35" s="6"/>
      <c r="J35" s="6"/>
      <c r="K35" s="6"/>
      <c r="L35" s="6"/>
      <c r="M35" s="6"/>
      <c r="N35" s="6"/>
      <c r="O35" s="6"/>
      <c r="P35" s="6"/>
      <c r="Q35" s="6"/>
      <c r="R35" s="6"/>
      <c r="S35" s="6"/>
      <c r="T35" s="6"/>
      <c r="U35" s="6"/>
      <c r="V35" s="6"/>
      <c r="W35" s="6"/>
      <c r="X35" s="6"/>
      <c r="Y35" s="6"/>
      <c r="Z35" s="6"/>
    </row>
    <row r="36" spans="1:26" ht="4.5" customHeight="1">
      <c r="A36" s="6"/>
      <c r="B36" s="11"/>
      <c r="C36" s="6"/>
      <c r="D36" s="6"/>
      <c r="E36" s="6"/>
      <c r="F36" s="6"/>
      <c r="G36" s="6"/>
      <c r="H36" s="6"/>
      <c r="I36" s="6"/>
      <c r="J36" s="6"/>
      <c r="K36" s="6"/>
      <c r="L36" s="6"/>
      <c r="M36" s="6"/>
      <c r="N36" s="6"/>
      <c r="O36" s="6"/>
      <c r="P36" s="6"/>
      <c r="Q36" s="6"/>
      <c r="R36" s="6"/>
      <c r="S36" s="6"/>
      <c r="T36" s="6"/>
      <c r="U36" s="6"/>
      <c r="V36" s="6"/>
      <c r="W36" s="6"/>
      <c r="X36" s="6"/>
      <c r="Y36" s="6"/>
      <c r="Z36" s="6"/>
    </row>
    <row r="37" spans="1:26" ht="15" customHeight="1">
      <c r="A37" s="386" t="s">
        <v>136</v>
      </c>
      <c r="B37" s="104" t="s">
        <v>398</v>
      </c>
      <c r="C37" s="104" t="s">
        <v>139</v>
      </c>
      <c r="D37" s="105"/>
      <c r="E37" s="105"/>
      <c r="F37" s="105"/>
      <c r="G37" s="376">
        <v>25</v>
      </c>
      <c r="H37" s="4"/>
      <c r="I37" s="4"/>
      <c r="J37" s="4"/>
      <c r="K37" s="4"/>
      <c r="L37" s="4"/>
      <c r="M37" s="380"/>
      <c r="N37" s="380"/>
      <c r="O37" s="380"/>
    </row>
    <row r="38" spans="1:26" ht="15" customHeight="1">
      <c r="A38" s="386"/>
      <c r="B38" s="104"/>
      <c r="C38" s="104"/>
      <c r="D38" s="105"/>
      <c r="E38" s="105"/>
      <c r="F38" s="105"/>
      <c r="G38" s="376"/>
      <c r="H38" s="4"/>
      <c r="I38" s="4"/>
      <c r="J38" s="4"/>
      <c r="K38" s="4"/>
      <c r="L38" s="4"/>
      <c r="M38" s="380"/>
      <c r="N38" s="380"/>
      <c r="O38" s="380"/>
    </row>
    <row r="39" spans="1:26" ht="15" customHeight="1">
      <c r="A39" s="386"/>
      <c r="B39" s="104"/>
      <c r="C39" s="104"/>
      <c r="D39" s="105"/>
      <c r="E39" s="105"/>
      <c r="F39" s="105"/>
      <c r="G39" s="376"/>
      <c r="H39" s="4"/>
      <c r="I39" s="1"/>
      <c r="J39" s="4"/>
      <c r="K39" s="4"/>
      <c r="L39" s="4"/>
      <c r="M39" s="380"/>
      <c r="N39" s="380"/>
      <c r="O39" s="380"/>
    </row>
    <row r="40" spans="1:26" ht="15" customHeight="1">
      <c r="A40" s="386"/>
      <c r="B40" s="104"/>
      <c r="C40" s="104"/>
      <c r="D40" s="105"/>
      <c r="E40" s="105"/>
      <c r="F40" s="105"/>
      <c r="G40" s="376"/>
      <c r="H40" s="4"/>
      <c r="I40" s="1"/>
      <c r="J40" s="4"/>
      <c r="K40" s="4"/>
      <c r="L40" s="4"/>
      <c r="M40" s="380"/>
      <c r="N40" s="380"/>
      <c r="O40" s="380"/>
    </row>
    <row r="41" spans="1:26" ht="15" customHeight="1">
      <c r="A41" s="386"/>
      <c r="B41" s="104"/>
      <c r="C41" s="104"/>
      <c r="D41" s="105"/>
      <c r="E41" s="105"/>
      <c r="F41" s="105"/>
      <c r="G41" s="376"/>
      <c r="H41" s="4"/>
      <c r="I41" s="1"/>
      <c r="J41" s="4"/>
      <c r="K41" s="4"/>
      <c r="L41" s="4"/>
      <c r="M41" s="380"/>
      <c r="N41" s="380"/>
      <c r="O41" s="380"/>
    </row>
    <row r="42" spans="1:26" ht="15" customHeight="1">
      <c r="A42" s="386"/>
      <c r="B42" s="104"/>
      <c r="C42" s="104"/>
      <c r="D42" s="105"/>
      <c r="E42" s="105"/>
      <c r="F42" s="105"/>
      <c r="G42" s="376"/>
      <c r="H42" s="4"/>
      <c r="I42" s="1"/>
      <c r="J42" s="4"/>
      <c r="K42" s="4"/>
      <c r="L42" s="4"/>
      <c r="M42" s="380"/>
      <c r="N42" s="380"/>
      <c r="O42" s="380"/>
    </row>
    <row r="43" spans="1:26" ht="15" customHeight="1">
      <c r="A43" s="386"/>
      <c r="B43" s="104"/>
      <c r="C43" s="104"/>
      <c r="D43" s="105"/>
      <c r="E43" s="105"/>
      <c r="F43" s="105"/>
      <c r="G43" s="376"/>
      <c r="H43" s="4"/>
      <c r="I43" s="1"/>
      <c r="J43" s="4"/>
      <c r="K43" s="4"/>
      <c r="L43" s="4"/>
      <c r="M43" s="380"/>
      <c r="N43" s="380"/>
      <c r="O43" s="380"/>
    </row>
    <row r="44" spans="1:26" ht="15" customHeight="1">
      <c r="A44" s="386"/>
      <c r="B44" s="104"/>
      <c r="C44" s="104"/>
      <c r="D44" s="105"/>
      <c r="E44" s="105"/>
      <c r="F44" s="105"/>
      <c r="G44" s="376"/>
      <c r="H44" s="4"/>
      <c r="I44" s="4"/>
      <c r="J44" s="4"/>
      <c r="K44" s="4"/>
      <c r="L44" s="4"/>
      <c r="M44" s="380"/>
      <c r="N44" s="380"/>
      <c r="O44" s="380"/>
    </row>
    <row r="45" spans="1:26" ht="15" customHeight="1">
      <c r="A45" s="386"/>
      <c r="B45" s="104"/>
      <c r="C45" s="104"/>
      <c r="D45" s="105"/>
      <c r="E45" s="105"/>
      <c r="F45" s="105"/>
      <c r="G45" s="376"/>
      <c r="H45" s="4"/>
      <c r="I45" s="4"/>
      <c r="J45" s="4"/>
      <c r="K45" s="4"/>
      <c r="L45" s="4"/>
      <c r="M45" s="380"/>
      <c r="N45" s="380"/>
      <c r="O45" s="380"/>
    </row>
    <row r="46" spans="1:26" ht="15" customHeight="1">
      <c r="A46" s="386"/>
      <c r="B46" s="104"/>
      <c r="C46" s="104"/>
      <c r="D46" s="105"/>
      <c r="E46" s="105"/>
      <c r="F46" s="105"/>
      <c r="G46" s="376"/>
      <c r="H46" s="4"/>
      <c r="I46" s="4"/>
      <c r="J46" s="4"/>
      <c r="K46" s="4"/>
      <c r="L46" s="4"/>
      <c r="M46" s="380"/>
      <c r="N46" s="380"/>
      <c r="O46" s="380"/>
    </row>
    <row r="47" spans="1:26" ht="15" customHeight="1">
      <c r="A47" s="386"/>
      <c r="B47" s="104"/>
      <c r="C47" s="104"/>
      <c r="D47" s="105"/>
      <c r="E47" s="105"/>
      <c r="F47" s="105"/>
      <c r="G47" s="376"/>
      <c r="H47" s="4"/>
      <c r="I47" s="4"/>
      <c r="J47" s="4"/>
      <c r="K47" s="4"/>
      <c r="L47" s="4"/>
      <c r="M47" s="380"/>
      <c r="N47" s="380"/>
      <c r="O47" s="380"/>
    </row>
    <row r="48" spans="1:26" ht="15" customHeight="1">
      <c r="A48" s="386"/>
      <c r="B48" s="104"/>
      <c r="C48" s="104"/>
      <c r="D48" s="105"/>
      <c r="E48" s="105"/>
      <c r="F48" s="105"/>
      <c r="G48" s="376"/>
      <c r="H48" s="4"/>
      <c r="I48" s="4"/>
      <c r="J48" s="4"/>
      <c r="K48" s="4"/>
      <c r="L48" s="4"/>
      <c r="M48" s="380"/>
      <c r="N48" s="380"/>
      <c r="O48" s="380"/>
    </row>
    <row r="49" spans="1:26" ht="15" customHeight="1">
      <c r="A49" s="386"/>
      <c r="B49" s="104"/>
      <c r="C49" s="104"/>
      <c r="D49" s="105"/>
      <c r="E49" s="105"/>
      <c r="F49" s="105"/>
      <c r="G49" s="376"/>
      <c r="H49" s="4"/>
      <c r="I49" s="4"/>
      <c r="J49" s="4"/>
      <c r="K49" s="4"/>
      <c r="L49" s="4"/>
      <c r="M49" s="380"/>
      <c r="N49" s="380"/>
      <c r="O49" s="380"/>
    </row>
    <row r="50" spans="1:26" ht="15" customHeight="1">
      <c r="A50" s="386"/>
      <c r="B50" s="104"/>
      <c r="C50" s="104"/>
      <c r="D50" s="105"/>
      <c r="E50" s="105"/>
      <c r="F50" s="105"/>
      <c r="G50" s="376"/>
      <c r="H50" s="4"/>
      <c r="I50" s="4"/>
      <c r="J50" s="4"/>
      <c r="K50" s="4"/>
      <c r="L50" s="4"/>
      <c r="M50" s="380"/>
      <c r="N50" s="380"/>
      <c r="O50" s="380"/>
    </row>
    <row r="51" spans="1:26" ht="15" customHeight="1">
      <c r="A51" s="386"/>
      <c r="B51" s="104"/>
      <c r="C51" s="104"/>
      <c r="D51" s="105"/>
      <c r="E51" s="105"/>
      <c r="F51" s="105"/>
      <c r="G51" s="376"/>
      <c r="H51" s="4"/>
      <c r="I51" s="4"/>
      <c r="J51" s="4"/>
      <c r="K51" s="4"/>
      <c r="L51" s="4"/>
      <c r="M51" s="380"/>
      <c r="N51" s="380"/>
      <c r="O51" s="380"/>
    </row>
    <row r="52" spans="1:26" ht="15" customHeight="1">
      <c r="A52" s="386"/>
      <c r="B52" s="104"/>
      <c r="C52" s="104"/>
      <c r="D52" s="105"/>
      <c r="E52" s="105"/>
      <c r="F52" s="105"/>
      <c r="G52" s="376"/>
      <c r="H52" s="4"/>
      <c r="I52" s="4"/>
      <c r="J52" s="4"/>
      <c r="K52" s="4"/>
      <c r="L52" s="4"/>
      <c r="M52" s="380"/>
      <c r="N52" s="380"/>
      <c r="O52" s="380"/>
    </row>
    <row r="53" spans="1:26" ht="4.5" customHeight="1">
      <c r="B53" s="4"/>
      <c r="C53" s="4"/>
      <c r="D53" s="4"/>
      <c r="E53" s="4"/>
      <c r="F53" s="4"/>
      <c r="G53" s="4"/>
      <c r="H53" s="4"/>
      <c r="I53" s="4"/>
      <c r="J53" s="4"/>
      <c r="K53" s="4"/>
      <c r="L53" s="4"/>
      <c r="M53" s="380"/>
      <c r="N53" s="380"/>
      <c r="O53" s="380"/>
    </row>
    <row r="54" spans="1:26" ht="15" customHeight="1">
      <c r="E54" s="377" t="s">
        <v>403</v>
      </c>
      <c r="F54" s="378" t="s">
        <v>404</v>
      </c>
      <c r="G54" s="379">
        <f>SUMIF(B37:B52,"Voiture Essence",G37:G52)</f>
        <v>25</v>
      </c>
      <c r="H54" s="4"/>
      <c r="I54" s="4"/>
      <c r="J54" s="4"/>
      <c r="K54" s="4"/>
      <c r="L54" s="4"/>
      <c r="M54" s="380"/>
      <c r="N54" s="380"/>
      <c r="O54" s="380"/>
    </row>
    <row r="55" spans="1:26" ht="15" customHeight="1">
      <c r="E55" s="381"/>
      <c r="F55" s="382" t="s">
        <v>405</v>
      </c>
      <c r="G55" s="383">
        <f>SUMIF(B37:B52,"Voiture Diesel",G37:G52)</f>
        <v>0</v>
      </c>
      <c r="H55" s="4"/>
      <c r="I55" s="4"/>
      <c r="J55" s="4"/>
      <c r="K55" s="4"/>
      <c r="L55" s="4"/>
      <c r="M55" s="380"/>
      <c r="N55" s="380"/>
      <c r="O55" s="380"/>
    </row>
    <row r="56" spans="1:26" ht="15" customHeight="1">
      <c r="E56" s="381"/>
      <c r="F56" s="382" t="s">
        <v>406</v>
      </c>
      <c r="G56" s="383">
        <f>SUMIF(B37:B52,"Voiture Electrique",G37:G52)</f>
        <v>0</v>
      </c>
      <c r="H56" s="4"/>
      <c r="I56" s="4"/>
      <c r="J56" s="4"/>
      <c r="K56" s="4"/>
      <c r="L56" s="4"/>
      <c r="M56" s="380"/>
      <c r="N56" s="380"/>
      <c r="O56" s="380"/>
    </row>
    <row r="57" spans="1:26" ht="15" customHeight="1">
      <c r="E57" s="381"/>
      <c r="F57" s="382" t="s">
        <v>407</v>
      </c>
      <c r="G57" s="383">
        <f>SUMIF(B37:B52,"Voiture Hybride",G37:G52)</f>
        <v>0</v>
      </c>
      <c r="H57" s="4"/>
      <c r="I57" s="4"/>
      <c r="J57" s="4"/>
      <c r="K57" s="4"/>
      <c r="L57" s="4"/>
      <c r="M57" s="380"/>
      <c r="N57" s="380"/>
      <c r="O57" s="380"/>
    </row>
    <row r="58" spans="1:26" ht="15" customHeight="1">
      <c r="E58" s="381"/>
      <c r="F58" s="384" t="s">
        <v>408</v>
      </c>
      <c r="G58" s="385">
        <f>SUMIF(B37:B52,"Moto",G37:G52)</f>
        <v>0</v>
      </c>
      <c r="H58" s="4"/>
      <c r="I58" s="4"/>
      <c r="J58" s="4"/>
      <c r="K58" s="4"/>
      <c r="L58" s="4"/>
      <c r="M58" s="380"/>
      <c r="N58" s="380"/>
      <c r="O58" s="380"/>
    </row>
    <row r="59" spans="1:26" ht="4.5" customHeight="1">
      <c r="A59" s="6"/>
      <c r="B59" s="11"/>
      <c r="C59" s="6"/>
      <c r="D59" s="6"/>
      <c r="E59" s="6"/>
      <c r="F59" s="6"/>
      <c r="G59" s="6"/>
      <c r="H59" s="6"/>
      <c r="I59" s="6"/>
      <c r="J59" s="6"/>
      <c r="K59" s="6"/>
      <c r="L59" s="6"/>
      <c r="M59" s="6"/>
      <c r="N59" s="6"/>
      <c r="O59" s="6"/>
      <c r="P59" s="6"/>
      <c r="Q59" s="6"/>
      <c r="R59" s="6"/>
      <c r="S59" s="6"/>
      <c r="T59" s="6"/>
      <c r="U59" s="6"/>
      <c r="V59" s="6"/>
      <c r="W59" s="6"/>
      <c r="X59" s="6"/>
      <c r="Y59" s="6"/>
      <c r="Z59" s="6"/>
    </row>
    <row r="60" spans="1:26" ht="18" customHeight="1">
      <c r="A60" s="6"/>
      <c r="B60" s="690" t="s">
        <v>409</v>
      </c>
      <c r="C60" s="521"/>
      <c r="D60" s="521"/>
      <c r="E60" s="521"/>
      <c r="F60" s="521"/>
      <c r="G60" s="519"/>
      <c r="H60" s="6"/>
      <c r="I60" s="6"/>
      <c r="J60" s="6"/>
      <c r="K60" s="6"/>
      <c r="L60" s="6"/>
      <c r="M60" s="6"/>
      <c r="N60" s="6"/>
      <c r="O60" s="6"/>
      <c r="P60" s="6"/>
      <c r="Q60" s="6"/>
      <c r="R60" s="6"/>
      <c r="S60" s="6"/>
      <c r="T60" s="6"/>
      <c r="U60" s="6"/>
      <c r="V60" s="6"/>
      <c r="W60" s="6"/>
      <c r="X60" s="6"/>
      <c r="Y60" s="6"/>
      <c r="Z60" s="6"/>
    </row>
    <row r="61" spans="1:26" ht="4.5" customHeight="1">
      <c r="A61" s="6"/>
      <c r="B61" s="11"/>
      <c r="C61" s="6"/>
      <c r="D61" s="6"/>
      <c r="E61" s="6"/>
      <c r="F61" s="6"/>
      <c r="G61" s="6"/>
      <c r="H61" s="6"/>
      <c r="I61" s="6"/>
      <c r="J61" s="6"/>
      <c r="K61" s="6"/>
      <c r="L61" s="6"/>
      <c r="M61" s="6"/>
      <c r="N61" s="6"/>
      <c r="O61" s="6"/>
      <c r="P61" s="6"/>
      <c r="Q61" s="6"/>
      <c r="R61" s="6"/>
      <c r="S61" s="6"/>
      <c r="T61" s="6"/>
      <c r="U61" s="6"/>
      <c r="V61" s="6"/>
      <c r="W61" s="6"/>
      <c r="X61" s="6"/>
      <c r="Y61" s="6"/>
      <c r="Z61" s="6"/>
    </row>
    <row r="62" spans="1:26" ht="15" customHeight="1">
      <c r="A62" s="386" t="s">
        <v>136</v>
      </c>
      <c r="B62" s="104" t="s">
        <v>410</v>
      </c>
      <c r="C62" s="104" t="s">
        <v>148</v>
      </c>
      <c r="D62" s="105"/>
      <c r="E62" s="105"/>
      <c r="F62" s="105"/>
      <c r="G62" s="376">
        <v>70</v>
      </c>
      <c r="H62" s="4"/>
      <c r="I62" s="4"/>
      <c r="J62" s="4"/>
      <c r="K62" s="4"/>
      <c r="L62" s="4"/>
      <c r="M62" s="380"/>
      <c r="N62" s="380"/>
      <c r="O62" s="380"/>
    </row>
    <row r="63" spans="1:26" ht="15" customHeight="1">
      <c r="A63" s="386"/>
      <c r="B63" s="104"/>
      <c r="C63" s="104"/>
      <c r="D63" s="105"/>
      <c r="E63" s="105"/>
      <c r="F63" s="105"/>
      <c r="G63" s="376"/>
      <c r="H63" s="4"/>
      <c r="I63" s="4"/>
      <c r="J63" s="4"/>
      <c r="K63" s="4"/>
      <c r="L63" s="4"/>
      <c r="M63" s="380"/>
      <c r="N63" s="380"/>
      <c r="O63" s="380"/>
    </row>
    <row r="64" spans="1:26" ht="15" customHeight="1">
      <c r="A64" s="386"/>
      <c r="B64" s="104"/>
      <c r="C64" s="104"/>
      <c r="D64" s="105"/>
      <c r="E64" s="105"/>
      <c r="F64" s="105"/>
      <c r="G64" s="376"/>
      <c r="H64" s="4"/>
      <c r="I64" s="4"/>
      <c r="J64" s="4"/>
      <c r="K64" s="4"/>
      <c r="L64" s="4"/>
      <c r="M64" s="380"/>
      <c r="N64" s="380"/>
      <c r="O64" s="380"/>
    </row>
    <row r="65" spans="1:26" ht="15" customHeight="1">
      <c r="A65" s="386"/>
      <c r="B65" s="104"/>
      <c r="C65" s="104"/>
      <c r="D65" s="105"/>
      <c r="E65" s="105"/>
      <c r="F65" s="105"/>
      <c r="G65" s="376"/>
      <c r="H65" s="4"/>
      <c r="I65" s="4"/>
      <c r="J65" s="4"/>
      <c r="K65" s="4"/>
      <c r="L65" s="4"/>
      <c r="M65" s="380"/>
      <c r="N65" s="380"/>
      <c r="O65" s="380"/>
    </row>
    <row r="66" spans="1:26" ht="15" customHeight="1">
      <c r="A66" s="386"/>
      <c r="B66" s="104"/>
      <c r="C66" s="104"/>
      <c r="D66" s="105"/>
      <c r="E66" s="105"/>
      <c r="F66" s="105"/>
      <c r="G66" s="376"/>
      <c r="H66" s="4"/>
      <c r="I66" s="4"/>
      <c r="J66" s="4"/>
      <c r="K66" s="4"/>
      <c r="L66" s="4"/>
      <c r="M66" s="380"/>
      <c r="N66" s="380"/>
      <c r="O66" s="380"/>
    </row>
    <row r="67" spans="1:26" ht="15" customHeight="1">
      <c r="A67" s="386"/>
      <c r="B67" s="104"/>
      <c r="C67" s="104"/>
      <c r="D67" s="105"/>
      <c r="E67" s="105"/>
      <c r="F67" s="105"/>
      <c r="G67" s="376"/>
      <c r="H67" s="4"/>
      <c r="I67" s="4"/>
      <c r="J67" s="4"/>
      <c r="K67" s="4"/>
      <c r="L67" s="4"/>
      <c r="M67" s="380"/>
      <c r="N67" s="380"/>
      <c r="O67" s="380"/>
    </row>
    <row r="68" spans="1:26" ht="15" customHeight="1">
      <c r="A68" s="386"/>
      <c r="B68" s="104"/>
      <c r="C68" s="104"/>
      <c r="D68" s="105"/>
      <c r="E68" s="105"/>
      <c r="F68" s="105"/>
      <c r="G68" s="376"/>
      <c r="H68" s="4"/>
      <c r="I68" s="4"/>
      <c r="J68" s="4"/>
      <c r="K68" s="4"/>
      <c r="L68" s="4"/>
      <c r="M68" s="380"/>
      <c r="N68" s="380"/>
      <c r="O68" s="380"/>
    </row>
    <row r="69" spans="1:26" ht="15" customHeight="1">
      <c r="A69" s="386"/>
      <c r="B69" s="104"/>
      <c r="C69" s="104"/>
      <c r="D69" s="105"/>
      <c r="E69" s="105"/>
      <c r="F69" s="105"/>
      <c r="G69" s="376"/>
      <c r="H69" s="4"/>
      <c r="I69" s="4"/>
      <c r="J69" s="4"/>
      <c r="K69" s="4"/>
      <c r="L69" s="4"/>
      <c r="M69" s="380"/>
      <c r="N69" s="380"/>
      <c r="O69" s="380"/>
    </row>
    <row r="70" spans="1:26" ht="15" customHeight="1">
      <c r="A70" s="386"/>
      <c r="B70" s="104"/>
      <c r="C70" s="104"/>
      <c r="D70" s="105"/>
      <c r="E70" s="105"/>
      <c r="F70" s="105"/>
      <c r="G70" s="376"/>
      <c r="H70" s="4"/>
      <c r="I70" s="4"/>
      <c r="J70" s="4"/>
      <c r="K70" s="4"/>
      <c r="L70" s="4"/>
      <c r="M70" s="380"/>
      <c r="N70" s="380"/>
      <c r="O70" s="380"/>
    </row>
    <row r="71" spans="1:26" ht="15" customHeight="1">
      <c r="A71" s="386"/>
      <c r="B71" s="104"/>
      <c r="C71" s="104"/>
      <c r="D71" s="105"/>
      <c r="E71" s="105"/>
      <c r="F71" s="105"/>
      <c r="G71" s="376"/>
      <c r="H71" s="4"/>
      <c r="I71" s="4"/>
      <c r="J71" s="4"/>
      <c r="K71" s="4"/>
      <c r="L71" s="4"/>
      <c r="M71" s="380"/>
      <c r="N71" s="380"/>
      <c r="O71" s="380"/>
    </row>
    <row r="72" spans="1:26" ht="15" customHeight="1">
      <c r="A72" s="386"/>
      <c r="B72" s="104"/>
      <c r="C72" s="104"/>
      <c r="D72" s="105"/>
      <c r="E72" s="105"/>
      <c r="F72" s="105"/>
      <c r="G72" s="376"/>
      <c r="H72" s="4"/>
      <c r="I72" s="4"/>
      <c r="J72" s="4"/>
      <c r="K72" s="4"/>
      <c r="L72" s="4"/>
      <c r="M72" s="380"/>
      <c r="N72" s="380"/>
      <c r="O72" s="380"/>
    </row>
    <row r="73" spans="1:26" ht="15" customHeight="1">
      <c r="A73" s="386"/>
      <c r="B73" s="104"/>
      <c r="C73" s="104"/>
      <c r="D73" s="105"/>
      <c r="E73" s="105"/>
      <c r="F73" s="105"/>
      <c r="G73" s="376"/>
      <c r="H73" s="4"/>
      <c r="I73" s="4"/>
      <c r="J73" s="4"/>
      <c r="K73" s="4"/>
      <c r="L73" s="4"/>
      <c r="M73" s="380"/>
      <c r="N73" s="380"/>
      <c r="O73" s="380"/>
    </row>
    <row r="74" spans="1:26" ht="15" customHeight="1">
      <c r="A74" s="386"/>
      <c r="B74" s="104"/>
      <c r="C74" s="104"/>
      <c r="D74" s="105"/>
      <c r="E74" s="105"/>
      <c r="F74" s="105"/>
      <c r="G74" s="376"/>
      <c r="H74" s="4"/>
      <c r="I74" s="4"/>
      <c r="J74" s="4"/>
      <c r="K74" s="4"/>
      <c r="L74" s="4"/>
      <c r="M74" s="380"/>
      <c r="N74" s="380"/>
      <c r="O74" s="380"/>
    </row>
    <row r="75" spans="1:26" ht="15" customHeight="1">
      <c r="A75" s="386"/>
      <c r="B75" s="104"/>
      <c r="C75" s="104"/>
      <c r="D75" s="105"/>
      <c r="E75" s="105"/>
      <c r="F75" s="105"/>
      <c r="G75" s="376"/>
      <c r="H75" s="4"/>
      <c r="I75" s="4"/>
      <c r="J75" s="4"/>
      <c r="K75" s="4"/>
      <c r="L75" s="4"/>
      <c r="M75" s="380"/>
      <c r="N75" s="380"/>
      <c r="O75" s="380"/>
    </row>
    <row r="76" spans="1:26" ht="15" customHeight="1">
      <c r="A76" s="386"/>
      <c r="B76" s="104"/>
      <c r="C76" s="104"/>
      <c r="D76" s="105"/>
      <c r="E76" s="105"/>
      <c r="F76" s="105"/>
      <c r="G76" s="376"/>
      <c r="H76" s="4"/>
      <c r="I76" s="4"/>
      <c r="J76" s="4"/>
      <c r="K76" s="4"/>
      <c r="L76" s="4"/>
      <c r="M76" s="380"/>
      <c r="N76" s="380"/>
      <c r="O76" s="380"/>
    </row>
    <row r="77" spans="1:26" ht="15" customHeight="1">
      <c r="A77" s="386"/>
      <c r="B77" s="104"/>
      <c r="C77" s="104"/>
      <c r="D77" s="105"/>
      <c r="E77" s="105"/>
      <c r="F77" s="105"/>
      <c r="G77" s="376"/>
      <c r="H77" s="4"/>
      <c r="I77" s="4"/>
      <c r="J77" s="4"/>
      <c r="K77" s="4"/>
      <c r="L77" s="4"/>
      <c r="M77" s="380"/>
      <c r="N77" s="380"/>
      <c r="O77" s="380"/>
    </row>
    <row r="78" spans="1:26" ht="4.5" customHeight="1">
      <c r="B78" s="4"/>
      <c r="C78" s="4"/>
      <c r="D78" s="4"/>
      <c r="E78" s="4"/>
      <c r="F78" s="4"/>
      <c r="G78" s="387"/>
      <c r="H78" s="4"/>
      <c r="I78" s="4"/>
      <c r="J78" s="4"/>
      <c r="K78" s="4"/>
      <c r="L78" s="4"/>
      <c r="M78" s="380"/>
      <c r="N78" s="380"/>
      <c r="O78" s="380"/>
    </row>
    <row r="79" spans="1:26" ht="15" customHeight="1">
      <c r="A79" s="10"/>
      <c r="B79" s="10"/>
      <c r="C79" s="10"/>
      <c r="D79" s="10"/>
      <c r="E79" s="377" t="s">
        <v>411</v>
      </c>
      <c r="F79" s="388" t="s">
        <v>412</v>
      </c>
      <c r="G79" s="389">
        <f>SUMIF(B62:B77,"Bateau Hors-bord",G62:G77)</f>
        <v>70</v>
      </c>
      <c r="H79" s="6"/>
      <c r="I79" s="6"/>
      <c r="J79" s="6"/>
      <c r="K79" s="6"/>
      <c r="L79" s="6"/>
      <c r="M79" s="390"/>
      <c r="N79" s="390"/>
      <c r="O79" s="390"/>
      <c r="P79" s="10"/>
      <c r="Q79" s="10"/>
      <c r="R79" s="10"/>
      <c r="S79" s="10"/>
      <c r="T79" s="10"/>
      <c r="U79" s="10"/>
      <c r="V79" s="10"/>
      <c r="W79" s="10"/>
      <c r="X79" s="10"/>
      <c r="Y79" s="10"/>
      <c r="Z79" s="10"/>
    </row>
    <row r="80" spans="1:26" ht="15.75" customHeight="1">
      <c r="E80" s="380"/>
      <c r="F80" s="380"/>
      <c r="G80" s="390"/>
      <c r="H80" s="4"/>
      <c r="I80" s="4"/>
      <c r="J80" s="4"/>
      <c r="K80" s="4"/>
      <c r="L80" s="4"/>
      <c r="M80" s="380"/>
      <c r="N80" s="380"/>
      <c r="O80" s="380"/>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60:G60"/>
    <mergeCell ref="A2:G2"/>
    <mergeCell ref="B11:G11"/>
    <mergeCell ref="J30:K30"/>
    <mergeCell ref="J31:K31"/>
    <mergeCell ref="B35:G35"/>
  </mergeCells>
  <pageMargins left="0.7" right="0.7" top="0.75" bottom="0.75" header="0" footer="0"/>
  <pageSetup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0C00-000000000000}">
          <x14:formula1>
            <xm:f>Données!$H$43:$H$46</xm:f>
          </x14:formula1>
          <xm:sqref>B13:B28</xm:sqref>
        </x14:dataValidation>
        <x14:dataValidation type="list" allowBlank="1" showErrorMessage="1" xr:uid="{00000000-0002-0000-0C00-000001000000}">
          <x14:formula1>
            <xm:f>Données!$H$52</xm:f>
          </x14:formula1>
          <xm:sqref>B62:B77</xm:sqref>
        </x14:dataValidation>
        <x14:dataValidation type="list" allowBlank="1" showErrorMessage="1" xr:uid="{00000000-0002-0000-0C00-000002000000}">
          <x14:formula1>
            <xm:f>Données!$H$47:$H$51</xm:f>
          </x14:formula1>
          <xm:sqref>B37:B52</xm:sqref>
        </x14:dataValidation>
        <x14:dataValidation type="list" allowBlank="1" showErrorMessage="1" xr:uid="{00000000-0002-0000-0C00-000003000000}">
          <x14:formula1>
            <xm:f>Données!$D$37:$D$39</xm:f>
          </x14:formula1>
          <xm:sqref>A13:A28 A37:A52 A62:A77</xm:sqref>
        </x14:dataValidation>
        <x14:dataValidation type="list" allowBlank="1" showErrorMessage="1" xr:uid="{00000000-0002-0000-0C00-000004000000}">
          <x14:formula1>
            <xm:f>Données!$D$49:$D$51</xm:f>
          </x14:formula1>
          <xm:sqref>C13:C28 C37:C52 C62:C77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CEBE0"/>
  </sheetPr>
  <dimension ref="A1:Z1000"/>
  <sheetViews>
    <sheetView topLeftCell="A13" zoomScale="71" workbookViewId="0">
      <selection activeCell="E29" sqref="E29:F29"/>
    </sheetView>
  </sheetViews>
  <sheetFormatPr baseColWidth="10" defaultColWidth="11.125" defaultRowHeight="15" customHeight="1"/>
  <cols>
    <col min="1" max="1" width="8.5" customWidth="1"/>
    <col min="2" max="2" width="38.125" customWidth="1"/>
    <col min="3" max="3" width="18" customWidth="1"/>
    <col min="4" max="4" width="47.5" customWidth="1"/>
    <col min="5" max="8" width="23.5" customWidth="1"/>
    <col min="9" max="12" width="16.5" customWidth="1"/>
    <col min="13" max="13" width="7.125" customWidth="1"/>
    <col min="14" max="14" width="10.5" customWidth="1"/>
    <col min="15" max="15" width="9.625" customWidth="1"/>
    <col min="16" max="26" width="8.625" customWidth="1"/>
  </cols>
  <sheetData>
    <row r="1" spans="1:26" ht="15.75" customHeight="1"/>
    <row r="2" spans="1:26" ht="15.75" customHeight="1">
      <c r="A2" s="563" t="s">
        <v>413</v>
      </c>
      <c r="B2" s="516"/>
      <c r="C2" s="516"/>
      <c r="D2" s="516"/>
      <c r="E2" s="516"/>
      <c r="F2" s="516"/>
      <c r="G2" s="516"/>
      <c r="H2" s="517"/>
    </row>
    <row r="3" spans="1:26" ht="15.75" customHeight="1">
      <c r="A3" s="6"/>
      <c r="B3" s="6"/>
      <c r="C3" s="6"/>
      <c r="D3" s="6"/>
      <c r="E3" s="6"/>
      <c r="F3" s="6"/>
      <c r="G3" s="6"/>
      <c r="H3" s="6"/>
      <c r="I3" s="6"/>
      <c r="J3" s="6"/>
      <c r="K3" s="6"/>
      <c r="L3" s="6"/>
      <c r="M3" s="6"/>
      <c r="N3" s="6"/>
      <c r="O3" s="6"/>
      <c r="P3" s="6"/>
      <c r="Q3" s="6"/>
      <c r="R3" s="6"/>
      <c r="S3" s="6"/>
      <c r="T3" s="6"/>
      <c r="U3" s="6"/>
      <c r="V3" s="6"/>
      <c r="W3" s="6"/>
      <c r="X3" s="6"/>
      <c r="Y3" s="6"/>
      <c r="Z3" s="6"/>
    </row>
    <row r="4" spans="1:26" ht="15" customHeight="1">
      <c r="A4" s="192"/>
      <c r="B4" s="3" t="s">
        <v>785</v>
      </c>
      <c r="C4" s="192"/>
      <c r="D4" s="192"/>
      <c r="E4" s="192"/>
      <c r="F4" s="192"/>
      <c r="G4" s="192"/>
      <c r="H4" s="192"/>
      <c r="I4" s="192"/>
      <c r="J4" s="192"/>
      <c r="K4" s="192"/>
      <c r="L4" s="192"/>
      <c r="M4" s="192"/>
      <c r="N4" s="192"/>
      <c r="O4" s="192"/>
      <c r="P4" s="192"/>
      <c r="Q4" s="192"/>
      <c r="R4" s="192"/>
      <c r="S4" s="192"/>
      <c r="T4" s="192"/>
      <c r="U4" s="192"/>
      <c r="V4" s="192"/>
      <c r="W4" s="192"/>
      <c r="X4" s="192"/>
      <c r="Y4" s="192"/>
      <c r="Z4" s="192"/>
    </row>
    <row r="5" spans="1:26" ht="15" customHeight="1">
      <c r="A5" s="12"/>
      <c r="B5" s="33" t="s">
        <v>111</v>
      </c>
      <c r="C5" s="12"/>
      <c r="D5" s="12"/>
      <c r="E5" s="12"/>
      <c r="F5" s="12"/>
      <c r="G5" s="12"/>
      <c r="H5" s="12"/>
      <c r="I5" s="12"/>
      <c r="J5" s="12"/>
      <c r="K5" s="12"/>
      <c r="L5" s="12"/>
      <c r="M5" s="12"/>
      <c r="N5" s="12"/>
      <c r="O5" s="12"/>
      <c r="P5" s="12"/>
      <c r="Q5" s="12"/>
      <c r="R5" s="12"/>
      <c r="S5" s="12"/>
      <c r="T5" s="12"/>
      <c r="U5" s="12"/>
      <c r="V5" s="12"/>
      <c r="W5" s="12"/>
      <c r="X5" s="12"/>
      <c r="Y5" s="12"/>
      <c r="Z5" s="12"/>
    </row>
    <row r="6" spans="1:26" ht="15" customHeight="1">
      <c r="A6" s="12"/>
      <c r="B6" s="34" t="s">
        <v>112</v>
      </c>
      <c r="C6" s="12"/>
      <c r="D6" s="12"/>
      <c r="E6" s="12"/>
      <c r="F6" s="12"/>
      <c r="G6" s="12"/>
      <c r="H6" s="12"/>
      <c r="I6" s="12"/>
      <c r="J6" s="12"/>
      <c r="K6" s="12"/>
      <c r="L6" s="12"/>
      <c r="M6" s="12"/>
      <c r="N6" s="12"/>
      <c r="O6" s="12"/>
      <c r="P6" s="12"/>
      <c r="Q6" s="12"/>
      <c r="R6" s="12"/>
      <c r="S6" s="12"/>
      <c r="T6" s="12"/>
      <c r="U6" s="12"/>
      <c r="V6" s="12"/>
      <c r="W6" s="12"/>
      <c r="X6" s="12"/>
      <c r="Y6" s="12"/>
      <c r="Z6" s="12"/>
    </row>
    <row r="7" spans="1:26" ht="15" customHeight="1">
      <c r="A7" s="12"/>
      <c r="B7" s="3" t="s">
        <v>166</v>
      </c>
      <c r="C7" s="12"/>
      <c r="D7" s="12"/>
      <c r="E7" s="12"/>
      <c r="F7" s="12"/>
      <c r="G7" s="12"/>
      <c r="H7" s="12"/>
      <c r="I7" s="12"/>
      <c r="J7" s="12"/>
      <c r="K7" s="12"/>
      <c r="L7" s="12"/>
      <c r="M7" s="12"/>
      <c r="N7" s="12"/>
      <c r="O7" s="12"/>
      <c r="P7" s="12"/>
      <c r="Q7" s="12"/>
      <c r="R7" s="12"/>
      <c r="S7" s="12"/>
      <c r="T7" s="12"/>
      <c r="U7" s="12"/>
      <c r="V7" s="12"/>
      <c r="W7" s="12"/>
      <c r="X7" s="12"/>
      <c r="Y7" s="12"/>
      <c r="Z7" s="12"/>
    </row>
    <row r="9" spans="1:26" ht="60" customHeight="1">
      <c r="A9" s="61" t="s">
        <v>114</v>
      </c>
      <c r="B9" s="62" t="s">
        <v>414</v>
      </c>
      <c r="C9" s="62" t="s">
        <v>240</v>
      </c>
      <c r="D9" s="62" t="s">
        <v>167</v>
      </c>
      <c r="E9" s="62" t="s">
        <v>173</v>
      </c>
      <c r="F9" s="62" t="s">
        <v>174</v>
      </c>
      <c r="G9" s="62" t="s">
        <v>415</v>
      </c>
      <c r="H9" s="62" t="s">
        <v>416</v>
      </c>
    </row>
    <row r="10" spans="1:26" ht="15" customHeight="1">
      <c r="A10" s="75" t="s">
        <v>136</v>
      </c>
      <c r="B10" s="104" t="s">
        <v>417</v>
      </c>
      <c r="C10" s="104" t="s">
        <v>151</v>
      </c>
      <c r="D10" s="105"/>
      <c r="E10" s="105"/>
      <c r="F10" s="105"/>
      <c r="G10" s="391">
        <v>2</v>
      </c>
      <c r="H10" s="107">
        <v>150</v>
      </c>
    </row>
    <row r="11" spans="1:26" ht="15" customHeight="1">
      <c r="A11" s="75"/>
      <c r="B11" s="104"/>
      <c r="C11" s="104"/>
      <c r="D11" s="105"/>
      <c r="E11" s="105"/>
      <c r="F11" s="105"/>
      <c r="G11" s="391"/>
      <c r="H11" s="107"/>
    </row>
    <row r="12" spans="1:26" ht="15" customHeight="1">
      <c r="A12" s="75"/>
      <c r="B12" s="104"/>
      <c r="C12" s="104"/>
      <c r="D12" s="105"/>
      <c r="E12" s="105"/>
      <c r="F12" s="105"/>
      <c r="G12" s="391"/>
      <c r="H12" s="107"/>
    </row>
    <row r="13" spans="1:26" ht="15" customHeight="1">
      <c r="A13" s="75"/>
      <c r="B13" s="104"/>
      <c r="C13" s="104"/>
      <c r="D13" s="105"/>
      <c r="E13" s="105"/>
      <c r="F13" s="105"/>
      <c r="G13" s="391"/>
      <c r="H13" s="107"/>
    </row>
    <row r="14" spans="1:26" ht="15" customHeight="1">
      <c r="A14" s="75"/>
      <c r="B14" s="104"/>
      <c r="C14" s="104"/>
      <c r="D14" s="105"/>
      <c r="E14" s="105"/>
      <c r="F14" s="105"/>
      <c r="G14" s="391"/>
      <c r="H14" s="107"/>
    </row>
    <row r="15" spans="1:26" ht="15" customHeight="1">
      <c r="A15" s="75"/>
      <c r="B15" s="104"/>
      <c r="C15" s="104"/>
      <c r="D15" s="105"/>
      <c r="E15" s="105"/>
      <c r="F15" s="105"/>
      <c r="G15" s="391"/>
      <c r="H15" s="107"/>
      <c r="I15" s="1"/>
    </row>
    <row r="16" spans="1:26" ht="15" customHeight="1">
      <c r="A16" s="75"/>
      <c r="B16" s="104"/>
      <c r="C16" s="104"/>
      <c r="D16" s="105"/>
      <c r="E16" s="105"/>
      <c r="F16" s="105"/>
      <c r="G16" s="391"/>
      <c r="H16" s="107"/>
      <c r="I16" s="1"/>
    </row>
    <row r="17" spans="1:13" ht="15" customHeight="1">
      <c r="A17" s="75"/>
      <c r="B17" s="104"/>
      <c r="C17" s="104"/>
      <c r="D17" s="105"/>
      <c r="E17" s="105"/>
      <c r="F17" s="105"/>
      <c r="G17" s="391"/>
      <c r="H17" s="107"/>
      <c r="I17" s="1"/>
    </row>
    <row r="18" spans="1:13" ht="15" customHeight="1">
      <c r="A18" s="75"/>
      <c r="B18" s="104"/>
      <c r="C18" s="104"/>
      <c r="D18" s="105"/>
      <c r="E18" s="105"/>
      <c r="F18" s="105"/>
      <c r="G18" s="391"/>
      <c r="H18" s="107"/>
    </row>
    <row r="19" spans="1:13" ht="15" customHeight="1">
      <c r="A19" s="75"/>
      <c r="B19" s="104"/>
      <c r="C19" s="104"/>
      <c r="D19" s="105"/>
      <c r="E19" s="105"/>
      <c r="F19" s="105"/>
      <c r="G19" s="391"/>
      <c r="H19" s="107"/>
    </row>
    <row r="20" spans="1:13" ht="15" customHeight="1">
      <c r="A20" s="75"/>
      <c r="B20" s="104"/>
      <c r="C20" s="104"/>
      <c r="D20" s="105"/>
      <c r="E20" s="105"/>
      <c r="F20" s="105"/>
      <c r="G20" s="391"/>
      <c r="H20" s="107"/>
    </row>
    <row r="21" spans="1:13" ht="15" customHeight="1">
      <c r="A21" s="75"/>
      <c r="B21" s="104"/>
      <c r="C21" s="104"/>
      <c r="D21" s="105"/>
      <c r="E21" s="105"/>
      <c r="F21" s="105"/>
      <c r="G21" s="391"/>
      <c r="H21" s="107"/>
    </row>
    <row r="22" spans="1:13" ht="15" customHeight="1">
      <c r="A22" s="75"/>
      <c r="B22" s="104"/>
      <c r="C22" s="104"/>
      <c r="D22" s="105"/>
      <c r="E22" s="105"/>
      <c r="F22" s="105"/>
      <c r="G22" s="391"/>
      <c r="H22" s="107"/>
    </row>
    <row r="23" spans="1:13" ht="15" customHeight="1">
      <c r="A23" s="75"/>
      <c r="B23" s="104"/>
      <c r="C23" s="104"/>
      <c r="D23" s="105"/>
      <c r="E23" s="105"/>
      <c r="F23" s="105"/>
      <c r="G23" s="391"/>
      <c r="H23" s="107"/>
    </row>
    <row r="24" spans="1:13" ht="15" customHeight="1">
      <c r="A24" s="75"/>
      <c r="B24" s="104"/>
      <c r="C24" s="104"/>
      <c r="D24" s="105"/>
      <c r="E24" s="105"/>
      <c r="F24" s="105"/>
      <c r="G24" s="391"/>
      <c r="H24" s="107"/>
    </row>
    <row r="25" spans="1:13" ht="15" customHeight="1">
      <c r="A25" s="75"/>
      <c r="B25" s="104"/>
      <c r="C25" s="104"/>
      <c r="D25" s="105"/>
      <c r="E25" s="105"/>
      <c r="F25" s="105"/>
      <c r="G25" s="391"/>
      <c r="H25" s="107"/>
    </row>
    <row r="26" spans="1:13" ht="15" customHeight="1">
      <c r="B26" s="4"/>
      <c r="C26" s="4"/>
      <c r="D26" s="4"/>
      <c r="E26" s="4"/>
      <c r="F26" s="4"/>
      <c r="G26" s="4"/>
      <c r="H26" s="4"/>
      <c r="I26" s="4"/>
      <c r="J26" s="4"/>
      <c r="K26" s="4"/>
      <c r="L26" s="4"/>
      <c r="M26" s="4"/>
    </row>
    <row r="27" spans="1:13" ht="19.5" customHeight="1">
      <c r="D27" s="380"/>
      <c r="E27" s="692" t="s">
        <v>188</v>
      </c>
      <c r="F27" s="594"/>
      <c r="G27" s="392">
        <f t="shared" ref="G27:H27" si="0">SUM(G10:G25)</f>
        <v>2</v>
      </c>
      <c r="H27" s="393">
        <f t="shared" si="0"/>
        <v>150</v>
      </c>
      <c r="I27" s="4"/>
      <c r="J27" s="380"/>
    </row>
    <row r="28" spans="1:13" ht="19.5" customHeight="1">
      <c r="D28" s="380"/>
      <c r="E28" s="693" t="s">
        <v>422</v>
      </c>
      <c r="F28" s="603"/>
      <c r="G28" s="394">
        <f>SUMIF(B10:B25,"Régie de production fixe",G10:G25)</f>
        <v>2</v>
      </c>
      <c r="H28" s="395">
        <f>SUMIF(B10:B25,"Régie de production fixe",H10:H25)</f>
        <v>150</v>
      </c>
      <c r="I28" s="4"/>
      <c r="J28" s="380"/>
    </row>
    <row r="29" spans="1:13" ht="19.5" customHeight="1">
      <c r="D29" s="380"/>
      <c r="E29" s="694" t="s">
        <v>423</v>
      </c>
      <c r="F29" s="519"/>
      <c r="G29" s="396">
        <f>SUMIF(B10:B25,"Régie mobile (régie Fly)",G10:G25)</f>
        <v>0</v>
      </c>
      <c r="H29" s="397">
        <f>SUMIF(B10:B25,"Régie mobile (régie Fly)",H10:H25)</f>
        <v>0</v>
      </c>
      <c r="I29" s="4"/>
      <c r="J29" s="4"/>
      <c r="K29" s="380"/>
      <c r="L29" s="380"/>
      <c r="M29" s="380"/>
    </row>
    <row r="30" spans="1:13" ht="19.5" customHeight="1">
      <c r="D30" s="380"/>
      <c r="E30" s="694" t="s">
        <v>424</v>
      </c>
      <c r="F30" s="519"/>
      <c r="G30" s="396">
        <f>SUMIF(B10:B25,"Car-régie (semi-remorque)",G10:G25)</f>
        <v>0</v>
      </c>
      <c r="H30" s="397">
        <f>SUMIF(B10:B25,"Car-régie (semi-remorque)",H10:H25)</f>
        <v>0</v>
      </c>
      <c r="I30" s="4"/>
      <c r="J30" s="4"/>
      <c r="K30" s="380"/>
      <c r="L30" s="380"/>
      <c r="M30" s="380"/>
    </row>
    <row r="31" spans="1:13" ht="19.5" customHeight="1">
      <c r="A31" s="4"/>
      <c r="B31" s="380"/>
      <c r="C31" s="380"/>
      <c r="D31" s="380"/>
      <c r="E31" s="694" t="s">
        <v>425</v>
      </c>
      <c r="F31" s="519"/>
      <c r="G31" s="396">
        <f>SUMIF(B10:B25,"Car d'accompagnement (semi-remorque)",G10:G25)</f>
        <v>0</v>
      </c>
      <c r="H31" s="397">
        <f>SUMIF(B10:B25,"Car d'accompagnement (semi-remorque)",H10:H25)</f>
        <v>0</v>
      </c>
    </row>
    <row r="32" spans="1:13" ht="19.5" customHeight="1">
      <c r="A32" s="4"/>
      <c r="B32" s="380"/>
      <c r="C32" s="380"/>
      <c r="D32" s="380"/>
      <c r="E32" s="695" t="s">
        <v>426</v>
      </c>
      <c r="F32" s="598"/>
      <c r="G32" s="398">
        <f>SUMIF(B10:B25,"Car de transmission",G10:G25)</f>
        <v>0</v>
      </c>
      <c r="H32" s="399">
        <f>SUMIF(B10:B25,"Car de transmission",H10:H25)</f>
        <v>0</v>
      </c>
    </row>
    <row r="33" spans="1:26" ht="15" customHeight="1">
      <c r="A33" s="4"/>
      <c r="B33" s="380"/>
      <c r="C33" s="380"/>
      <c r="D33" s="380"/>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563" t="s">
        <v>427</v>
      </c>
      <c r="B35" s="516"/>
      <c r="C35" s="516"/>
      <c r="D35" s="516"/>
      <c r="E35" s="516"/>
      <c r="F35" s="516"/>
      <c r="G35" s="516"/>
      <c r="H35" s="517"/>
      <c r="I35" s="1"/>
      <c r="J35" s="1"/>
    </row>
    <row r="36" spans="1:26" ht="15.75" customHeight="1">
      <c r="A36" s="1"/>
      <c r="B36" s="1"/>
      <c r="C36" s="1"/>
      <c r="D36" s="1"/>
      <c r="E36" s="1"/>
      <c r="F36" s="1"/>
      <c r="H36" s="311"/>
      <c r="I36" s="1"/>
      <c r="J36" s="1"/>
      <c r="K36" s="1"/>
      <c r="L36" s="1"/>
      <c r="M36" s="1"/>
      <c r="N36" s="1"/>
      <c r="O36" s="1"/>
    </row>
    <row r="37" spans="1:26" ht="15.75" customHeight="1">
      <c r="A37" s="4"/>
      <c r="B37" s="380"/>
      <c r="C37" s="380"/>
      <c r="D37" s="380"/>
    </row>
    <row r="38" spans="1:26" ht="15.75" customHeight="1">
      <c r="A38" s="4"/>
      <c r="B38" s="380"/>
      <c r="C38" s="380"/>
      <c r="D38" s="380"/>
    </row>
    <row r="39" spans="1:26" ht="15.75" customHeight="1">
      <c r="A39" s="4"/>
      <c r="B39" s="380"/>
      <c r="C39" s="380"/>
      <c r="D39" s="380"/>
    </row>
    <row r="40" spans="1:26" ht="15.75" customHeight="1">
      <c r="A40" s="4"/>
      <c r="B40" s="380"/>
      <c r="C40" s="380"/>
      <c r="D40" s="380"/>
    </row>
    <row r="41" spans="1:26" ht="15.75" customHeight="1">
      <c r="A41" s="4"/>
      <c r="B41" s="380"/>
      <c r="C41" s="380"/>
      <c r="D41" s="380"/>
    </row>
    <row r="42" spans="1:26" ht="15.75" customHeight="1">
      <c r="A42" s="4"/>
      <c r="B42" s="380"/>
      <c r="C42" s="380"/>
      <c r="D42" s="380"/>
    </row>
    <row r="43" spans="1:26" ht="15.75" customHeight="1">
      <c r="A43" s="4"/>
      <c r="B43" s="380"/>
      <c r="C43" s="380"/>
      <c r="D43" s="380"/>
    </row>
    <row r="44" spans="1:26" ht="15.75" customHeight="1">
      <c r="A44" s="4"/>
      <c r="B44" s="380"/>
      <c r="C44" s="380"/>
      <c r="D44" s="380"/>
    </row>
    <row r="45" spans="1:26" ht="15.75" customHeight="1">
      <c r="A45" s="4"/>
      <c r="B45" s="380"/>
      <c r="C45" s="380"/>
      <c r="D45" s="380"/>
    </row>
    <row r="46" spans="1:26" ht="15.75" customHeight="1">
      <c r="A46" s="4"/>
      <c r="B46" s="380"/>
      <c r="C46" s="380"/>
      <c r="D46" s="380"/>
    </row>
    <row r="47" spans="1:26" ht="15.75" customHeight="1">
      <c r="A47" s="4"/>
      <c r="B47" s="380"/>
      <c r="C47" s="380"/>
      <c r="D47" s="380"/>
    </row>
    <row r="48" spans="1:26" ht="15.75" customHeight="1">
      <c r="A48" s="4"/>
      <c r="B48" s="380"/>
      <c r="C48" s="380"/>
      <c r="D48" s="380"/>
    </row>
    <row r="49" spans="1:4" ht="15.75" customHeight="1">
      <c r="A49" s="4"/>
      <c r="B49" s="380"/>
      <c r="C49" s="380"/>
      <c r="D49" s="380"/>
    </row>
    <row r="50" spans="1:4" ht="15.75" customHeight="1">
      <c r="A50" s="4"/>
      <c r="B50" s="380"/>
      <c r="C50" s="380"/>
      <c r="D50" s="380"/>
    </row>
    <row r="51" spans="1:4" ht="15.75" customHeight="1">
      <c r="A51" s="4"/>
      <c r="B51" s="380"/>
      <c r="C51" s="380"/>
      <c r="D51" s="380"/>
    </row>
    <row r="52" spans="1:4" ht="15.75" customHeight="1">
      <c r="A52" s="4"/>
      <c r="B52" s="380"/>
      <c r="C52" s="380"/>
      <c r="D52" s="380"/>
    </row>
    <row r="53" spans="1:4" ht="15.75" customHeight="1">
      <c r="A53" s="4"/>
      <c r="B53" s="380"/>
      <c r="C53" s="380"/>
      <c r="D53" s="380"/>
    </row>
    <row r="54" spans="1:4" ht="15.75" customHeight="1">
      <c r="A54" s="4"/>
      <c r="B54" s="380"/>
      <c r="C54" s="380"/>
      <c r="D54" s="380"/>
    </row>
    <row r="55" spans="1:4" ht="15.75" customHeight="1">
      <c r="A55" s="4"/>
      <c r="B55" s="380"/>
      <c r="C55" s="380"/>
      <c r="D55" s="380"/>
    </row>
    <row r="56" spans="1:4" ht="15.75" customHeight="1">
      <c r="A56" s="4"/>
      <c r="B56" s="380"/>
      <c r="C56" s="380"/>
      <c r="D56" s="380"/>
    </row>
    <row r="57" spans="1:4" ht="15.75" customHeight="1">
      <c r="A57" s="4"/>
      <c r="B57" s="380"/>
      <c r="C57" s="380"/>
      <c r="D57" s="380"/>
    </row>
    <row r="58" spans="1:4" ht="15.75" customHeight="1">
      <c r="A58" s="4"/>
      <c r="B58" s="380"/>
      <c r="C58" s="380"/>
      <c r="D58" s="380"/>
    </row>
    <row r="59" spans="1:4" ht="15.75" customHeight="1">
      <c r="A59" s="4"/>
      <c r="B59" s="380"/>
      <c r="C59" s="380"/>
      <c r="D59" s="380"/>
    </row>
    <row r="60" spans="1:4" ht="15.75" customHeight="1">
      <c r="A60" s="4"/>
      <c r="B60" s="380"/>
      <c r="C60" s="380"/>
      <c r="D60" s="380"/>
    </row>
    <row r="61" spans="1:4" ht="15.75" customHeight="1">
      <c r="A61" s="4"/>
      <c r="B61" s="380"/>
      <c r="C61" s="380"/>
      <c r="D61" s="380"/>
    </row>
    <row r="62" spans="1:4" ht="15.75" customHeight="1">
      <c r="A62" s="4"/>
      <c r="B62" s="380"/>
      <c r="C62" s="380"/>
      <c r="D62" s="380"/>
    </row>
    <row r="63" spans="1:4" ht="15.75" customHeight="1">
      <c r="A63" s="4"/>
      <c r="B63" s="380"/>
      <c r="C63" s="380"/>
      <c r="D63" s="380"/>
    </row>
    <row r="64" spans="1:4" ht="15.75" customHeight="1">
      <c r="A64" s="4"/>
      <c r="B64" s="380"/>
      <c r="C64" s="380"/>
      <c r="D64" s="380"/>
    </row>
    <row r="65" spans="1:4" ht="15.75" customHeight="1">
      <c r="A65" s="4"/>
      <c r="B65" s="380"/>
      <c r="C65" s="380"/>
      <c r="D65" s="380"/>
    </row>
    <row r="66" spans="1:4" ht="15.75" customHeight="1">
      <c r="A66" s="4"/>
      <c r="B66" s="380"/>
      <c r="C66" s="380"/>
      <c r="D66" s="380"/>
    </row>
    <row r="67" spans="1:4" ht="15.75" customHeight="1">
      <c r="A67" s="4"/>
      <c r="B67" s="380"/>
      <c r="C67" s="380"/>
      <c r="D67" s="380"/>
    </row>
    <row r="68" spans="1:4" ht="15.75" customHeight="1">
      <c r="A68" s="4"/>
      <c r="B68" s="380"/>
      <c r="C68" s="380"/>
      <c r="D68" s="380"/>
    </row>
    <row r="69" spans="1:4" ht="15.75" customHeight="1">
      <c r="A69" s="4"/>
      <c r="B69" s="380"/>
      <c r="C69" s="380"/>
      <c r="D69" s="380"/>
    </row>
    <row r="70" spans="1:4" ht="15.75" customHeight="1">
      <c r="A70" s="4"/>
      <c r="B70" s="380"/>
      <c r="C70" s="380"/>
      <c r="D70" s="380"/>
    </row>
    <row r="71" spans="1:4" ht="15.75" customHeight="1">
      <c r="A71" s="4"/>
      <c r="B71" s="380"/>
      <c r="C71" s="380"/>
      <c r="D71" s="380"/>
    </row>
    <row r="72" spans="1:4" ht="15.75" customHeight="1">
      <c r="A72" s="4"/>
      <c r="B72" s="380"/>
      <c r="C72" s="380"/>
      <c r="D72" s="380"/>
    </row>
    <row r="73" spans="1:4" ht="15.75" customHeight="1">
      <c r="A73" s="4"/>
      <c r="B73" s="380"/>
      <c r="C73" s="380"/>
      <c r="D73" s="380"/>
    </row>
    <row r="74" spans="1:4" ht="15.75" customHeight="1">
      <c r="A74" s="4"/>
      <c r="B74" s="380"/>
      <c r="C74" s="380"/>
      <c r="D74" s="380"/>
    </row>
    <row r="75" spans="1:4" ht="15.75" customHeight="1">
      <c r="A75" s="4"/>
      <c r="B75" s="380"/>
      <c r="C75" s="380"/>
      <c r="D75" s="380"/>
    </row>
    <row r="76" spans="1:4" ht="15.75" customHeight="1">
      <c r="A76" s="4"/>
      <c r="B76" s="380"/>
      <c r="C76" s="380"/>
      <c r="D76" s="380"/>
    </row>
    <row r="77" spans="1:4" ht="15.75" customHeight="1">
      <c r="A77" s="4"/>
      <c r="B77" s="380"/>
      <c r="C77" s="380"/>
      <c r="D77" s="380"/>
    </row>
    <row r="78" spans="1:4" ht="15.75" customHeight="1">
      <c r="A78" s="4"/>
      <c r="B78" s="380"/>
      <c r="C78" s="380"/>
      <c r="D78" s="380"/>
    </row>
    <row r="79" spans="1:4" ht="15.75" customHeight="1">
      <c r="A79" s="4"/>
      <c r="B79" s="380"/>
      <c r="C79" s="380"/>
      <c r="D79" s="380"/>
    </row>
    <row r="80" spans="1:4" ht="15.75" customHeight="1">
      <c r="A80" s="167"/>
      <c r="B80" s="167"/>
      <c r="C80" s="167"/>
      <c r="D80" s="167"/>
    </row>
    <row r="81" spans="1:6" ht="15.75" customHeight="1"/>
    <row r="82" spans="1:6" ht="15.75" customHeight="1">
      <c r="A82" s="608" t="s">
        <v>428</v>
      </c>
      <c r="B82" s="516"/>
      <c r="C82" s="516"/>
      <c r="D82" s="517"/>
    </row>
    <row r="83" spans="1:6" ht="15.75" customHeight="1"/>
    <row r="84" spans="1:6" ht="15.75" customHeight="1">
      <c r="A84" s="607" t="s">
        <v>429</v>
      </c>
      <c r="B84" s="587"/>
      <c r="C84" s="105" t="e">
        <f>COUNTIF(#REF!,"CAR LOGES")</f>
        <v>#REF!</v>
      </c>
      <c r="D84" s="117" t="e">
        <f>C84/F27</f>
        <v>#REF!</v>
      </c>
      <c r="F84" s="52"/>
    </row>
    <row r="85" spans="1:6" ht="15.75" customHeight="1">
      <c r="A85" s="606" t="s">
        <v>430</v>
      </c>
      <c r="B85" s="590"/>
      <c r="C85" s="105" t="e">
        <f>SUMIF((#REF!),"CAR LOGES",#REF!)</f>
        <v>#REF!</v>
      </c>
      <c r="D85" s="117" t="e">
        <f>C85/#REF!</f>
        <v>#REF!</v>
      </c>
      <c r="F85" s="53"/>
    </row>
    <row r="86" spans="1:6" ht="15.75" customHeight="1">
      <c r="F86" s="400"/>
    </row>
    <row r="87" spans="1:6" ht="15.75" customHeight="1">
      <c r="A87" s="607" t="s">
        <v>431</v>
      </c>
      <c r="B87" s="587"/>
      <c r="C87" s="105" t="e">
        <f>COUNTIF(#REF!,"CAMION CANTINE")</f>
        <v>#REF!</v>
      </c>
      <c r="D87" s="117" t="e">
        <f>C87/F27</f>
        <v>#REF!</v>
      </c>
      <c r="F87" s="52"/>
    </row>
    <row r="88" spans="1:6" ht="15.75" customHeight="1">
      <c r="A88" s="606" t="s">
        <v>432</v>
      </c>
      <c r="B88" s="590"/>
      <c r="C88" s="105" t="e">
        <f>SUMIF((#REF!),"CAMION CANTINE",#REF!)</f>
        <v>#REF!</v>
      </c>
      <c r="D88" s="117" t="e">
        <f>C88/#REF!</f>
        <v>#REF!</v>
      </c>
      <c r="F88" s="53"/>
    </row>
    <row r="89" spans="1:6" ht="15.75" customHeight="1">
      <c r="F89" s="53"/>
    </row>
    <row r="90" spans="1:6" ht="15.75" customHeight="1">
      <c r="A90" s="607" t="s">
        <v>433</v>
      </c>
      <c r="B90" s="587"/>
      <c r="C90" s="105" t="e">
        <f>COUNTIF(#REF!,"CAMION GROUPE")</f>
        <v>#REF!</v>
      </c>
      <c r="D90" s="117" t="e">
        <f>C90/F27</f>
        <v>#REF!</v>
      </c>
      <c r="F90" s="53"/>
    </row>
    <row r="91" spans="1:6" ht="15.75" customHeight="1">
      <c r="A91" s="606" t="s">
        <v>434</v>
      </c>
      <c r="B91" s="590"/>
      <c r="C91" s="105" t="e">
        <f>SUMIF((#REF!),"CAMION GROUPE",#REF!)</f>
        <v>#REF!</v>
      </c>
      <c r="D91" s="117" t="e">
        <f>C91/#REF!</f>
        <v>#REF!</v>
      </c>
      <c r="F91" s="53"/>
    </row>
    <row r="92" spans="1:6" ht="15.75" customHeight="1">
      <c r="F92" s="53"/>
    </row>
    <row r="93" spans="1:6" ht="15.75" customHeight="1">
      <c r="A93" s="607" t="s">
        <v>422</v>
      </c>
      <c r="B93" s="587"/>
      <c r="C93" s="105" t="e">
        <f>COUNTIF(#REF!,"RÉGIE DE PRODUCTION FIXE")</f>
        <v>#REF!</v>
      </c>
      <c r="D93" s="117" t="e">
        <f>C93/F27</f>
        <v>#REF!</v>
      </c>
      <c r="F93" s="53"/>
    </row>
    <row r="94" spans="1:6" ht="15.75" customHeight="1">
      <c r="A94" s="606" t="s">
        <v>435</v>
      </c>
      <c r="B94" s="590"/>
      <c r="C94" s="105"/>
      <c r="D94" s="117"/>
      <c r="F94" s="53"/>
    </row>
    <row r="95" spans="1:6" ht="15.75" customHeight="1">
      <c r="F95" s="53"/>
    </row>
    <row r="96" spans="1:6" ht="15.75" customHeight="1">
      <c r="F96" s="53"/>
    </row>
    <row r="97" spans="1:13" ht="15.75" customHeight="1">
      <c r="F97" s="53"/>
    </row>
    <row r="98" spans="1:13" ht="15.75" customHeight="1">
      <c r="F98" s="53"/>
    </row>
    <row r="99" spans="1:13" ht="15.75" customHeight="1">
      <c r="A99" s="608" t="s">
        <v>188</v>
      </c>
      <c r="B99" s="516"/>
      <c r="C99" s="516"/>
      <c r="D99" s="517"/>
      <c r="F99" s="53"/>
    </row>
    <row r="100" spans="1:13" ht="15.75" customHeight="1"/>
    <row r="101" spans="1:13" ht="15.75" customHeight="1">
      <c r="A101" s="607" t="s">
        <v>423</v>
      </c>
      <c r="B101" s="587"/>
      <c r="C101" s="105" t="e">
        <f>COUNTIF(#REF!,"RÉGIE MOBILE (RÉGIE FLY)")</f>
        <v>#REF!</v>
      </c>
      <c r="D101" s="117" t="e">
        <f>C101/(SUM(F27:F28))</f>
        <v>#REF!</v>
      </c>
    </row>
    <row r="102" spans="1:13" ht="15.75" customHeight="1">
      <c r="A102" s="606" t="s">
        <v>436</v>
      </c>
      <c r="B102" s="590"/>
      <c r="C102" s="105" t="e">
        <f>SUMIF((#REF!),"RÉGIE MOBILE (RÉGIE FLY)",#REF!)</f>
        <v>#REF!</v>
      </c>
      <c r="D102" s="117" t="e">
        <f>C102/(#REF!+#REF!)</f>
        <v>#REF!</v>
      </c>
    </row>
    <row r="103" spans="1:13" ht="15.75" customHeight="1"/>
    <row r="104" spans="1:13" ht="15.75" customHeight="1">
      <c r="A104" s="607" t="s">
        <v>424</v>
      </c>
      <c r="B104" s="587"/>
      <c r="C104" s="105" t="e">
        <f>COUNTIF(#REF!,"CAR-RÉGIE (SEMI-REMORQUE)")</f>
        <v>#REF!</v>
      </c>
      <c r="D104" s="117" t="e">
        <f>C104/(SUM(F27:F28))</f>
        <v>#REF!</v>
      </c>
    </row>
    <row r="105" spans="1:13" ht="15.75" customHeight="1">
      <c r="A105" s="606" t="s">
        <v>437</v>
      </c>
      <c r="B105" s="590"/>
      <c r="C105" s="105" t="e">
        <f>SUMIF((#REF!),"CAR-RÉGIE (SEMI-REMORQUE)",#REF!)</f>
        <v>#REF!</v>
      </c>
      <c r="D105" s="117" t="e">
        <f>C105/(#REF!+#REF!)</f>
        <v>#REF!</v>
      </c>
    </row>
    <row r="106" spans="1:13" ht="15.75" customHeight="1"/>
    <row r="107" spans="1:13" ht="15.75" customHeight="1">
      <c r="A107" s="607" t="s">
        <v>425</v>
      </c>
      <c r="B107" s="587"/>
      <c r="C107" s="105" t="e">
        <f>COUNTIF(#REF!,"CAR D'ACCOMPAGNEMENT (SEMI-REMORQUE)e")</f>
        <v>#REF!</v>
      </c>
      <c r="D107" s="117" t="e">
        <f>C107/(SUM(F27:F28))</f>
        <v>#REF!</v>
      </c>
    </row>
    <row r="108" spans="1:13" ht="15.75" customHeight="1">
      <c r="A108" s="606" t="s">
        <v>438</v>
      </c>
      <c r="B108" s="590"/>
      <c r="C108" s="105" t="e">
        <f>SUMIF((#REF!),"CAR D'ACCOMPAGNEMENT (SEMI-REMORQUE)",#REF!)</f>
        <v>#REF!</v>
      </c>
      <c r="D108" s="117" t="e">
        <f>C108/(#REF!+#REF!)</f>
        <v>#REF!</v>
      </c>
    </row>
    <row r="109" spans="1:13" ht="15.75" customHeight="1"/>
    <row r="110" spans="1:13" ht="15.75" customHeight="1">
      <c r="A110" s="607" t="s">
        <v>426</v>
      </c>
      <c r="B110" s="587"/>
      <c r="C110" s="105" t="e">
        <f>COUNTIF(#REF!,"CAR DE TRANSMISSION")</f>
        <v>#REF!</v>
      </c>
      <c r="D110" s="117" t="e">
        <f>C110/(SUM(F27:F28))</f>
        <v>#REF!</v>
      </c>
    </row>
    <row r="111" spans="1:13" ht="15.75" customHeight="1">
      <c r="K111" s="290"/>
      <c r="L111" s="105" t="e">
        <f>SUMIF((#REF!),"CAR DE TRANSMISSION",#REF!)</f>
        <v>#REF!</v>
      </c>
      <c r="M111" s="117" t="e">
        <f>L111/(#REF!+#REF!)</f>
        <v>#REF!</v>
      </c>
    </row>
    <row r="112" spans="1:13" ht="15.75" customHeight="1"/>
    <row r="113" spans="7:13" ht="15.75" customHeight="1"/>
    <row r="114" spans="7:13" ht="15.75" customHeight="1">
      <c r="K114" s="401"/>
      <c r="L114" s="105">
        <f>COUNTIF(B23:B25,"HÉLICOPTÈRE")</f>
        <v>0</v>
      </c>
      <c r="M114" s="117" t="e">
        <f>L114/(SUM(F27:F28))</f>
        <v>#DIV/0!</v>
      </c>
    </row>
    <row r="115" spans="7:13" ht="15.75" customHeight="1">
      <c r="K115" s="290"/>
      <c r="L115" s="105" t="e">
        <f>SUMIF((B23:B25),"HÉLICOPTÈRE",#REF!)</f>
        <v>#REF!</v>
      </c>
      <c r="M115" s="117" t="e">
        <f>L115/(#REF!+#REF!)</f>
        <v>#REF!</v>
      </c>
    </row>
    <row r="116" spans="7:13" ht="15.75" customHeight="1"/>
    <row r="117" spans="7:13" ht="15.75" customHeight="1">
      <c r="K117" s="401"/>
      <c r="L117" s="105">
        <f>COUNTIF(B23:B25,"Fret - Avion")</f>
        <v>0</v>
      </c>
      <c r="M117" s="117" t="e">
        <f>L117/(SUM(F27:F28))</f>
        <v>#DIV/0!</v>
      </c>
    </row>
    <row r="118" spans="7:13" ht="15.75" customHeight="1">
      <c r="K118" s="290"/>
      <c r="L118" s="105" t="e">
        <f>SUMIF((B23:B25),"Fret - avion",#REF!)</f>
        <v>#REF!</v>
      </c>
      <c r="M118" s="117" t="e">
        <f>L118/(#REF!+#REF!)</f>
        <v>#REF!</v>
      </c>
    </row>
    <row r="119" spans="7:13" ht="15.75" customHeight="1"/>
    <row r="120" spans="7:13" ht="15.75" customHeight="1">
      <c r="K120" s="401"/>
      <c r="L120" s="105">
        <f>COUNTIF(B23:B25,"Fret - Bateau")</f>
        <v>0</v>
      </c>
      <c r="M120" s="117" t="e">
        <f>L120/(SUM(F27:F28))</f>
        <v>#DIV/0!</v>
      </c>
    </row>
    <row r="121" spans="7:13" ht="15.75" customHeight="1">
      <c r="K121" s="290"/>
      <c r="L121" s="105" t="e">
        <f>SUMIF((B23:B25),"Fret - Bateau",#REF!)</f>
        <v>#REF!</v>
      </c>
      <c r="M121" s="117" t="e">
        <f>L121/(#REF!+#REF!)</f>
        <v>#REF!</v>
      </c>
    </row>
    <row r="122" spans="7:13" ht="15.75" customHeight="1"/>
    <row r="123" spans="7:13" ht="15.75" customHeight="1">
      <c r="K123" s="401"/>
      <c r="L123" s="105">
        <f>COUNTIF(B27:B30,"Fret - Avion")</f>
        <v>0</v>
      </c>
      <c r="M123" s="117" t="e">
        <f>L123/(SUM(#REF!))</f>
        <v>#REF!</v>
      </c>
    </row>
    <row r="124" spans="7:13" ht="15.75" customHeight="1">
      <c r="H124" s="113" t="s">
        <v>439</v>
      </c>
      <c r="K124" s="290"/>
      <c r="L124" s="105">
        <f>SUMIF((B27:B30),"Fret - avion",L27:L82)</f>
        <v>0</v>
      </c>
      <c r="M124" s="117" t="e">
        <f>L124/(D84+D85)</f>
        <v>#REF!</v>
      </c>
    </row>
    <row r="125" spans="7:13" ht="15.75" customHeight="1">
      <c r="H125" s="113" t="s">
        <v>440</v>
      </c>
    </row>
    <row r="126" spans="7:13" ht="15.75" customHeight="1">
      <c r="K126" s="401"/>
      <c r="L126" s="105">
        <f>COUNTIF(B27:B30,"Fret - Bateau")</f>
        <v>0</v>
      </c>
      <c r="M126" s="117" t="e">
        <f>L126/(SUM(#REF!))</f>
        <v>#REF!</v>
      </c>
    </row>
    <row r="127" spans="7:13" ht="15.75" customHeight="1">
      <c r="K127" s="290"/>
      <c r="L127" s="105">
        <f>SUMIF((B27:B30),"Fret - Bateau",L27:L82)</f>
        <v>0</v>
      </c>
      <c r="M127" s="117" t="e">
        <f>L127/(D84+D85)</f>
        <v>#REF!</v>
      </c>
    </row>
    <row r="128" spans="7:13" ht="15.75" customHeight="1">
      <c r="G128" s="402" t="s">
        <v>441</v>
      </c>
      <c r="H128" s="403" t="s">
        <v>442</v>
      </c>
      <c r="I128" s="404" t="s">
        <v>443</v>
      </c>
      <c r="J128" s="405" t="s">
        <v>351</v>
      </c>
    </row>
    <row r="129" spans="4:13" ht="15.75" customHeight="1">
      <c r="D129" s="406" t="s">
        <v>238</v>
      </c>
      <c r="E129" s="122"/>
      <c r="F129" s="122"/>
      <c r="G129" s="123"/>
      <c r="H129" s="124"/>
      <c r="I129" s="407"/>
      <c r="J129" s="408"/>
      <c r="K129" s="401"/>
      <c r="L129" s="105" t="e">
        <f>COUNTIF(#REF!,"Fret - Bateau")</f>
        <v>#REF!</v>
      </c>
      <c r="M129" s="117" t="e">
        <f>L129/(SUM(#REF!))</f>
        <v>#REF!</v>
      </c>
    </row>
    <row r="130" spans="4:13" ht="15.75" customHeight="1">
      <c r="D130" s="409" t="s">
        <v>210</v>
      </c>
      <c r="E130" s="127"/>
      <c r="F130" s="127"/>
      <c r="G130" s="128"/>
      <c r="H130" s="105"/>
      <c r="I130" s="410"/>
      <c r="J130" s="409"/>
      <c r="K130" s="290"/>
      <c r="L130" s="105" t="e">
        <f>SUMIF((#REF!),"Fret - Bateau",C81:C85)</f>
        <v>#REF!</v>
      </c>
      <c r="M130" s="117" t="e">
        <f>L130/(D87+D88)</f>
        <v>#REF!</v>
      </c>
    </row>
    <row r="131" spans="4:13" ht="15.75" customHeight="1">
      <c r="D131" s="409" t="s">
        <v>212</v>
      </c>
      <c r="E131" s="127"/>
      <c r="F131" s="127"/>
      <c r="G131" s="128"/>
      <c r="H131" s="105"/>
      <c r="I131" s="410"/>
      <c r="J131" s="409"/>
    </row>
    <row r="132" spans="4:13" ht="15.75" customHeight="1">
      <c r="D132" s="409" t="s">
        <v>216</v>
      </c>
      <c r="E132" s="127"/>
      <c r="F132" s="127"/>
      <c r="G132" s="128"/>
      <c r="H132" s="105"/>
      <c r="I132" s="410"/>
      <c r="J132" s="409"/>
      <c r="K132" s="401"/>
      <c r="L132" s="105" t="e">
        <f>COUNTIF(#REF!,"Fret - Bateau")</f>
        <v>#REF!</v>
      </c>
      <c r="M132" s="117" t="e">
        <f>L132/(SUM(#REF!))</f>
        <v>#REF!</v>
      </c>
    </row>
    <row r="133" spans="4:13" ht="15.75" customHeight="1">
      <c r="D133" s="409" t="s">
        <v>214</v>
      </c>
      <c r="E133" s="127"/>
      <c r="F133" s="127"/>
      <c r="G133" s="128"/>
      <c r="H133" s="105"/>
      <c r="I133" s="410"/>
      <c r="J133" s="409"/>
      <c r="K133" s="290"/>
      <c r="L133" s="105" t="e">
        <f>SUMIF((#REF!),"Fret - Bateau",C84:C88)</f>
        <v>#REF!</v>
      </c>
      <c r="M133" s="117" t="e">
        <f>L133/(D90+D91)</f>
        <v>#REF!</v>
      </c>
    </row>
    <row r="134" spans="4:13" ht="15.75" customHeight="1">
      <c r="D134" s="411" t="s">
        <v>215</v>
      </c>
      <c r="E134" s="131"/>
      <c r="F134" s="131"/>
      <c r="G134" s="132"/>
      <c r="H134" s="133"/>
      <c r="I134" s="412"/>
      <c r="J134" s="411"/>
    </row>
    <row r="135" spans="4:13" ht="15.75" customHeight="1">
      <c r="D135" s="405" t="s">
        <v>188</v>
      </c>
      <c r="E135" s="405"/>
      <c r="F135" s="405"/>
      <c r="G135" s="413"/>
      <c r="H135" s="413"/>
      <c r="I135" s="413"/>
      <c r="K135" s="401"/>
      <c r="L135" s="105" t="e">
        <f>COUNTIF(#REF!,"Fret - Bateau")</f>
        <v>#REF!</v>
      </c>
      <c r="M135" s="117" t="e">
        <f>L135/(SUM(#REF!))</f>
        <v>#REF!</v>
      </c>
    </row>
    <row r="136" spans="4:13" ht="15.75" customHeight="1">
      <c r="K136" s="290"/>
      <c r="L136" s="105" t="e">
        <f>SUMIF((#REF!),"Fret - Bateau",C87:C91)</f>
        <v>#REF!</v>
      </c>
      <c r="M136" s="117" t="e">
        <f>L136/(D93+D94)</f>
        <v>#REF!</v>
      </c>
    </row>
    <row r="137" spans="4:13" ht="15.75" customHeight="1"/>
    <row r="138" spans="4:13" ht="15.75" customHeight="1"/>
    <row r="139" spans="4:13" ht="15.75" customHeight="1"/>
    <row r="140" spans="4:13" ht="15.75" customHeight="1"/>
    <row r="141" spans="4:13" ht="15.75" customHeight="1"/>
    <row r="142" spans="4:13" ht="15.75" customHeight="1"/>
    <row r="143" spans="4:13" ht="15.75" customHeight="1"/>
    <row r="144" spans="4:1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5">
    <mergeCell ref="A107:B107"/>
    <mergeCell ref="A108:B108"/>
    <mergeCell ref="A110:B110"/>
    <mergeCell ref="A91:B91"/>
    <mergeCell ref="A93:B93"/>
    <mergeCell ref="A94:B94"/>
    <mergeCell ref="A99:D99"/>
    <mergeCell ref="A101:B101"/>
    <mergeCell ref="A102:B102"/>
    <mergeCell ref="A104:B104"/>
    <mergeCell ref="A85:B85"/>
    <mergeCell ref="A87:B87"/>
    <mergeCell ref="A88:B88"/>
    <mergeCell ref="A90:B90"/>
    <mergeCell ref="A105:B105"/>
    <mergeCell ref="E31:F31"/>
    <mergeCell ref="A35:H35"/>
    <mergeCell ref="E32:F32"/>
    <mergeCell ref="A82:D82"/>
    <mergeCell ref="A84:B84"/>
    <mergeCell ref="A2:H2"/>
    <mergeCell ref="E27:F27"/>
    <mergeCell ref="E28:F28"/>
    <mergeCell ref="E29:F29"/>
    <mergeCell ref="E30:F30"/>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D00-000000000000}">
          <x14:formula1>
            <xm:f>Données!$H$55:$H$59</xm:f>
          </x14:formula1>
          <xm:sqref>B10:B25</xm:sqref>
        </x14:dataValidation>
        <x14:dataValidation type="list" allowBlank="1" showErrorMessage="1" xr:uid="{00000000-0002-0000-0D00-000001000000}">
          <x14:formula1>
            <xm:f>Données!$D$37:$D$39</xm:f>
          </x14:formula1>
          <xm:sqref>A10:A25</xm:sqref>
        </x14:dataValidation>
        <x14:dataValidation type="list" allowBlank="1" showErrorMessage="1" xr:uid="{00000000-0002-0000-0D00-000002000000}">
          <x14:formula1>
            <xm:f>Données!$D$49:$D$51</xm:f>
          </x14:formula1>
          <xm:sqref>C10:C25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AD9C2"/>
  </sheetPr>
  <dimension ref="A1:Z1000"/>
  <sheetViews>
    <sheetView topLeftCell="A16" workbookViewId="0">
      <selection activeCell="A27" sqref="A27:G38"/>
    </sheetView>
  </sheetViews>
  <sheetFormatPr baseColWidth="10" defaultColWidth="11.125" defaultRowHeight="15" customHeight="1"/>
  <cols>
    <col min="1" max="1" width="8.5" customWidth="1"/>
    <col min="2" max="4" width="25.5" customWidth="1"/>
    <col min="5" max="7" width="16.5" customWidth="1"/>
    <col min="8" max="8" width="15.5" customWidth="1"/>
    <col min="9" max="26" width="11" customWidth="1"/>
  </cols>
  <sheetData>
    <row r="1" spans="1:26" ht="15.75" customHeight="1"/>
    <row r="2" spans="1:26" ht="15.75" customHeight="1">
      <c r="A2" s="564" t="s">
        <v>41</v>
      </c>
      <c r="B2" s="516"/>
      <c r="C2" s="516"/>
      <c r="D2" s="516"/>
      <c r="E2" s="516"/>
      <c r="F2" s="516"/>
      <c r="G2" s="517"/>
    </row>
    <row r="3" spans="1:26" ht="15.75" customHeight="1">
      <c r="A3" s="6"/>
      <c r="B3" s="6"/>
      <c r="C3" s="6"/>
      <c r="D3" s="6"/>
      <c r="E3" s="6"/>
      <c r="F3" s="6"/>
      <c r="G3" s="6"/>
      <c r="H3" s="6"/>
      <c r="I3" s="6"/>
      <c r="J3" s="6"/>
      <c r="K3" s="6"/>
      <c r="L3" s="6"/>
      <c r="M3" s="6"/>
      <c r="N3" s="6"/>
      <c r="O3" s="6"/>
      <c r="P3" s="6"/>
      <c r="Q3" s="6"/>
      <c r="R3" s="6"/>
      <c r="S3" s="6"/>
      <c r="T3" s="6"/>
      <c r="U3" s="6"/>
      <c r="V3" s="6"/>
      <c r="W3" s="6"/>
      <c r="X3" s="6"/>
      <c r="Y3" s="6"/>
      <c r="Z3" s="6"/>
    </row>
    <row r="4" spans="1:26" ht="15" customHeight="1">
      <c r="A4" s="192"/>
      <c r="B4" s="3" t="s">
        <v>785</v>
      </c>
      <c r="C4" s="192"/>
      <c r="D4" s="192"/>
      <c r="E4" s="192"/>
      <c r="F4" s="192"/>
      <c r="G4" s="192"/>
      <c r="H4" s="192"/>
      <c r="I4" s="192"/>
      <c r="J4" s="192"/>
      <c r="K4" s="192"/>
      <c r="L4" s="192"/>
      <c r="M4" s="192"/>
      <c r="N4" s="192"/>
      <c r="O4" s="192"/>
      <c r="P4" s="192"/>
      <c r="Q4" s="192"/>
      <c r="R4" s="192"/>
      <c r="S4" s="192"/>
      <c r="T4" s="192"/>
      <c r="U4" s="192"/>
      <c r="V4" s="192"/>
      <c r="W4" s="192"/>
      <c r="X4" s="192"/>
      <c r="Y4" s="192"/>
      <c r="Z4" s="192"/>
    </row>
    <row r="5" spans="1:26" ht="15" customHeight="1">
      <c r="A5" s="12"/>
      <c r="B5" s="33" t="s">
        <v>111</v>
      </c>
      <c r="C5" s="12"/>
      <c r="D5" s="12"/>
      <c r="E5" s="12"/>
      <c r="F5" s="12"/>
      <c r="G5" s="12"/>
      <c r="H5" s="12"/>
      <c r="I5" s="12"/>
      <c r="J5" s="12"/>
      <c r="K5" s="12"/>
      <c r="L5" s="12"/>
      <c r="M5" s="12"/>
      <c r="N5" s="12"/>
      <c r="O5" s="12"/>
      <c r="P5" s="12"/>
      <c r="Q5" s="12"/>
      <c r="R5" s="12"/>
      <c r="S5" s="12"/>
      <c r="T5" s="12"/>
      <c r="U5" s="12"/>
      <c r="V5" s="12"/>
      <c r="W5" s="12"/>
      <c r="X5" s="12"/>
      <c r="Y5" s="12"/>
      <c r="Z5" s="12"/>
    </row>
    <row r="6" spans="1:26" ht="15" customHeight="1">
      <c r="A6" s="12"/>
      <c r="B6" s="34" t="s">
        <v>112</v>
      </c>
      <c r="C6" s="12"/>
      <c r="D6" s="12"/>
      <c r="E6" s="12"/>
      <c r="F6" s="12"/>
      <c r="G6" s="12"/>
      <c r="H6" s="12"/>
      <c r="I6" s="12"/>
      <c r="J6" s="12"/>
      <c r="K6" s="12"/>
      <c r="L6" s="12"/>
      <c r="M6" s="12"/>
      <c r="N6" s="12"/>
      <c r="O6" s="12"/>
      <c r="P6" s="12"/>
      <c r="Q6" s="12"/>
      <c r="R6" s="12"/>
      <c r="S6" s="12"/>
      <c r="T6" s="12"/>
      <c r="U6" s="12"/>
      <c r="V6" s="12"/>
      <c r="W6" s="12"/>
      <c r="X6" s="12"/>
      <c r="Y6" s="12"/>
      <c r="Z6" s="12"/>
    </row>
    <row r="7" spans="1:26" ht="15" customHeight="1">
      <c r="A7" s="12"/>
      <c r="B7" s="3" t="s">
        <v>166</v>
      </c>
      <c r="C7" s="12"/>
      <c r="D7" s="12"/>
      <c r="E7" s="12"/>
      <c r="F7" s="12"/>
      <c r="G7" s="12"/>
      <c r="H7" s="12"/>
      <c r="I7" s="12"/>
      <c r="J7" s="12"/>
      <c r="K7" s="12"/>
      <c r="L7" s="12"/>
      <c r="M7" s="12"/>
      <c r="N7" s="12"/>
      <c r="O7" s="12"/>
      <c r="P7" s="12"/>
      <c r="Q7" s="12"/>
      <c r="R7" s="12"/>
      <c r="S7" s="12"/>
      <c r="T7" s="12"/>
      <c r="U7" s="12"/>
      <c r="V7" s="12"/>
      <c r="W7" s="12"/>
      <c r="X7" s="12"/>
      <c r="Y7" s="12"/>
      <c r="Z7" s="12"/>
    </row>
    <row r="8" spans="1:26" ht="15.75" customHeight="1">
      <c r="A8" s="10"/>
      <c r="B8" s="10"/>
      <c r="C8" s="10"/>
      <c r="D8" s="10"/>
      <c r="E8" s="414"/>
      <c r="F8" s="6"/>
      <c r="G8" s="6"/>
      <c r="H8" s="157"/>
    </row>
    <row r="9" spans="1:26" ht="60" customHeight="1">
      <c r="A9" s="144" t="s">
        <v>114</v>
      </c>
      <c r="B9" s="193" t="s">
        <v>167</v>
      </c>
      <c r="C9" s="193" t="s">
        <v>444</v>
      </c>
      <c r="D9" s="193" t="s">
        <v>445</v>
      </c>
      <c r="E9" s="696" t="s">
        <v>446</v>
      </c>
      <c r="F9" s="594"/>
      <c r="G9" s="145" t="s">
        <v>175</v>
      </c>
    </row>
    <row r="10" spans="1:26" ht="4.5" customHeight="1">
      <c r="A10" s="6"/>
      <c r="B10" s="6"/>
      <c r="C10" s="11"/>
      <c r="D10" s="6"/>
      <c r="E10" s="6"/>
      <c r="F10" s="6"/>
      <c r="G10" s="6"/>
      <c r="H10" s="6"/>
      <c r="I10" s="6"/>
      <c r="J10" s="6"/>
      <c r="K10" s="6"/>
      <c r="L10" s="6"/>
      <c r="M10" s="6"/>
      <c r="N10" s="6"/>
      <c r="O10" s="6"/>
      <c r="P10" s="6"/>
      <c r="Q10" s="6"/>
      <c r="R10" s="6"/>
      <c r="S10" s="6"/>
      <c r="T10" s="6"/>
      <c r="U10" s="6"/>
      <c r="V10" s="6"/>
      <c r="W10" s="6"/>
      <c r="X10" s="6"/>
      <c r="Y10" s="6"/>
      <c r="Z10" s="6"/>
    </row>
    <row r="11" spans="1:26" ht="18" customHeight="1">
      <c r="A11" s="6"/>
      <c r="B11" s="697" t="s">
        <v>176</v>
      </c>
      <c r="C11" s="521"/>
      <c r="D11" s="521"/>
      <c r="E11" s="521"/>
      <c r="F11" s="521"/>
      <c r="G11" s="519"/>
      <c r="H11" s="6"/>
      <c r="I11" s="6"/>
      <c r="J11" s="6"/>
      <c r="K11" s="6"/>
      <c r="L11" s="6"/>
      <c r="M11" s="6"/>
      <c r="N11" s="6"/>
      <c r="O11" s="6"/>
      <c r="P11" s="6"/>
      <c r="Q11" s="6"/>
      <c r="R11" s="6"/>
      <c r="S11" s="6"/>
      <c r="T11" s="6"/>
      <c r="U11" s="6"/>
      <c r="V11" s="6"/>
      <c r="W11" s="6"/>
      <c r="X11" s="6"/>
      <c r="Y11" s="6"/>
      <c r="Z11" s="6"/>
    </row>
    <row r="12" spans="1:26" ht="4.5" customHeight="1">
      <c r="A12" s="6"/>
      <c r="B12" s="6"/>
      <c r="C12" s="11"/>
      <c r="D12" s="6"/>
      <c r="E12" s="6"/>
      <c r="F12" s="6"/>
      <c r="G12" s="6"/>
      <c r="H12" s="6"/>
      <c r="I12" s="6"/>
      <c r="J12" s="6"/>
      <c r="K12" s="6"/>
      <c r="L12" s="6"/>
      <c r="M12" s="6"/>
      <c r="N12" s="6"/>
      <c r="O12" s="6"/>
      <c r="P12" s="6"/>
      <c r="Q12" s="6"/>
      <c r="R12" s="6"/>
      <c r="S12" s="6"/>
      <c r="T12" s="6"/>
      <c r="U12" s="6"/>
      <c r="V12" s="6"/>
      <c r="W12" s="6"/>
      <c r="X12" s="6"/>
      <c r="Y12" s="6"/>
      <c r="Z12" s="6"/>
    </row>
    <row r="13" spans="1:26" ht="15.75" customHeight="1">
      <c r="A13" s="75" t="s">
        <v>136</v>
      </c>
      <c r="B13" s="415"/>
      <c r="C13" s="415"/>
      <c r="D13" s="138" t="s">
        <v>447</v>
      </c>
      <c r="E13" s="672" t="s">
        <v>448</v>
      </c>
      <c r="F13" s="519"/>
      <c r="G13" s="68">
        <v>10</v>
      </c>
    </row>
    <row r="14" spans="1:26" ht="15.75" customHeight="1">
      <c r="A14" s="75"/>
      <c r="B14" s="415"/>
      <c r="C14" s="415"/>
      <c r="D14" s="138"/>
      <c r="E14" s="672"/>
      <c r="F14" s="519"/>
      <c r="G14" s="68"/>
    </row>
    <row r="15" spans="1:26" ht="15.75" customHeight="1">
      <c r="A15" s="75"/>
      <c r="B15" s="415"/>
      <c r="C15" s="415"/>
      <c r="D15" s="138"/>
      <c r="E15" s="672"/>
      <c r="F15" s="519"/>
      <c r="G15" s="68"/>
    </row>
    <row r="16" spans="1:26" ht="15.75" customHeight="1">
      <c r="A16" s="75"/>
      <c r="B16" s="415"/>
      <c r="C16" s="415"/>
      <c r="D16" s="138"/>
      <c r="E16" s="672"/>
      <c r="F16" s="519"/>
      <c r="G16" s="68"/>
    </row>
    <row r="17" spans="1:26" ht="15.75" customHeight="1">
      <c r="A17" s="75"/>
      <c r="B17" s="415"/>
      <c r="C17" s="415"/>
      <c r="D17" s="138"/>
      <c r="E17" s="672"/>
      <c r="F17" s="519"/>
      <c r="G17" s="68"/>
    </row>
    <row r="18" spans="1:26" ht="15.75" customHeight="1">
      <c r="A18" s="75"/>
      <c r="B18" s="415"/>
      <c r="C18" s="415"/>
      <c r="D18" s="138"/>
      <c r="E18" s="672"/>
      <c r="F18" s="519"/>
      <c r="G18" s="68"/>
    </row>
    <row r="19" spans="1:26" ht="15.75" customHeight="1">
      <c r="A19" s="75"/>
      <c r="B19" s="415"/>
      <c r="C19" s="415"/>
      <c r="D19" s="138"/>
      <c r="E19" s="672"/>
      <c r="F19" s="519"/>
      <c r="G19" s="68"/>
    </row>
    <row r="20" spans="1:26" ht="15.75" customHeight="1">
      <c r="A20" s="75"/>
      <c r="B20" s="415"/>
      <c r="C20" s="415"/>
      <c r="D20" s="138"/>
      <c r="E20" s="672"/>
      <c r="F20" s="519"/>
      <c r="G20" s="68"/>
    </row>
    <row r="21" spans="1:26" ht="15.75" customHeight="1">
      <c r="A21" s="75"/>
      <c r="B21" s="415"/>
      <c r="C21" s="415"/>
      <c r="D21" s="138"/>
      <c r="E21" s="672"/>
      <c r="F21" s="519"/>
      <c r="G21" s="68"/>
    </row>
    <row r="22" spans="1:26" ht="15.75" customHeight="1">
      <c r="A22" s="75"/>
      <c r="B22" s="415"/>
      <c r="C22" s="415"/>
      <c r="D22" s="138"/>
      <c r="E22" s="672"/>
      <c r="F22" s="519"/>
      <c r="G22" s="68"/>
    </row>
    <row r="23" spans="1:26" ht="4.5" customHeight="1">
      <c r="A23" s="6"/>
      <c r="B23" s="6"/>
      <c r="C23" s="11"/>
      <c r="D23" s="6"/>
      <c r="E23" s="6"/>
      <c r="F23" s="6"/>
      <c r="G23" s="6"/>
      <c r="H23" s="6"/>
      <c r="I23" s="6"/>
      <c r="J23" s="6"/>
      <c r="K23" s="6"/>
      <c r="L23" s="6"/>
      <c r="M23" s="6"/>
      <c r="N23" s="6"/>
      <c r="O23" s="6"/>
      <c r="P23" s="6"/>
      <c r="Q23" s="6"/>
      <c r="R23" s="6"/>
      <c r="S23" s="6"/>
      <c r="T23" s="6"/>
      <c r="U23" s="6"/>
      <c r="V23" s="6"/>
      <c r="W23" s="6"/>
      <c r="X23" s="6"/>
      <c r="Y23" s="6"/>
      <c r="Z23" s="6"/>
    </row>
    <row r="24" spans="1:26" ht="18" customHeight="1">
      <c r="A24" s="6"/>
      <c r="B24" s="697" t="s">
        <v>182</v>
      </c>
      <c r="C24" s="521"/>
      <c r="D24" s="521"/>
      <c r="E24" s="521"/>
      <c r="F24" s="521"/>
      <c r="G24" s="519"/>
      <c r="H24" s="6"/>
      <c r="I24" s="6"/>
      <c r="J24" s="6"/>
      <c r="K24" s="6"/>
      <c r="L24" s="6"/>
      <c r="M24" s="6"/>
      <c r="N24" s="6"/>
      <c r="O24" s="6"/>
      <c r="P24" s="6"/>
      <c r="Q24" s="6"/>
      <c r="R24" s="6"/>
      <c r="S24" s="6"/>
      <c r="T24" s="6"/>
      <c r="U24" s="6"/>
      <c r="V24" s="6"/>
      <c r="W24" s="6"/>
      <c r="X24" s="6"/>
      <c r="Y24" s="6"/>
      <c r="Z24" s="6"/>
    </row>
    <row r="25" spans="1:26" ht="4.5" customHeight="1">
      <c r="A25" s="6"/>
      <c r="B25" s="6"/>
      <c r="C25" s="11"/>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75" t="s">
        <v>136</v>
      </c>
      <c r="B26" s="415"/>
      <c r="C26" s="415"/>
      <c r="D26" s="138" t="s">
        <v>455</v>
      </c>
      <c r="E26" s="672" t="s">
        <v>448</v>
      </c>
      <c r="F26" s="519"/>
      <c r="G26" s="68">
        <v>5</v>
      </c>
    </row>
    <row r="27" spans="1:26" ht="15.75" customHeight="1">
      <c r="A27" s="75"/>
      <c r="B27" s="415"/>
      <c r="C27" s="415"/>
      <c r="D27" s="138"/>
      <c r="E27" s="672"/>
      <c r="F27" s="519"/>
      <c r="G27" s="68"/>
    </row>
    <row r="28" spans="1:26" ht="15.75" customHeight="1">
      <c r="A28" s="75"/>
      <c r="B28" s="415"/>
      <c r="C28" s="415"/>
      <c r="D28" s="138"/>
      <c r="E28" s="672"/>
      <c r="F28" s="519"/>
      <c r="G28" s="68"/>
    </row>
    <row r="29" spans="1:26" ht="15.75" customHeight="1">
      <c r="A29" s="75"/>
      <c r="B29" s="415"/>
      <c r="C29" s="415"/>
      <c r="D29" s="138"/>
      <c r="E29" s="672"/>
      <c r="F29" s="519"/>
      <c r="G29" s="68"/>
    </row>
    <row r="30" spans="1:26" ht="15.75" customHeight="1">
      <c r="A30" s="75"/>
      <c r="B30" s="415"/>
      <c r="C30" s="415"/>
      <c r="D30" s="138"/>
      <c r="E30" s="672"/>
      <c r="F30" s="519"/>
      <c r="G30" s="68"/>
    </row>
    <row r="31" spans="1:26" ht="15.75" customHeight="1">
      <c r="A31" s="75"/>
      <c r="B31" s="415"/>
      <c r="C31" s="415"/>
      <c r="D31" s="138"/>
      <c r="E31" s="672"/>
      <c r="F31" s="519"/>
      <c r="G31" s="68"/>
    </row>
    <row r="32" spans="1:26" ht="15.75" customHeight="1">
      <c r="A32" s="75"/>
      <c r="B32" s="415"/>
      <c r="C32" s="415"/>
      <c r="D32" s="138"/>
      <c r="E32" s="672"/>
      <c r="F32" s="519"/>
      <c r="G32" s="68"/>
    </row>
    <row r="33" spans="1:8" ht="15.75" customHeight="1">
      <c r="A33" s="75"/>
      <c r="B33" s="415"/>
      <c r="C33" s="415"/>
      <c r="D33" s="138"/>
      <c r="E33" s="672"/>
      <c r="F33" s="519"/>
      <c r="G33" s="68"/>
    </row>
    <row r="34" spans="1:8" ht="15.75" customHeight="1">
      <c r="A34" s="75"/>
      <c r="B34" s="415"/>
      <c r="C34" s="415"/>
      <c r="D34" s="138"/>
      <c r="E34" s="672"/>
      <c r="F34" s="519"/>
      <c r="G34" s="68"/>
    </row>
    <row r="35" spans="1:8" ht="15.75" customHeight="1">
      <c r="A35" s="75"/>
      <c r="B35" s="415"/>
      <c r="C35" s="415"/>
      <c r="D35" s="138"/>
      <c r="E35" s="672"/>
      <c r="F35" s="519"/>
      <c r="G35" s="68"/>
    </row>
    <row r="36" spans="1:8" ht="15.75" customHeight="1">
      <c r="A36" s="75"/>
      <c r="B36" s="415"/>
      <c r="C36" s="415"/>
      <c r="D36" s="138"/>
      <c r="E36" s="672"/>
      <c r="F36" s="519"/>
      <c r="G36" s="68"/>
    </row>
    <row r="37" spans="1:8" ht="15.75" customHeight="1">
      <c r="A37" s="75"/>
      <c r="B37" s="415"/>
      <c r="C37" s="415"/>
      <c r="D37" s="138"/>
      <c r="E37" s="672"/>
      <c r="F37" s="519"/>
      <c r="G37" s="68"/>
    </row>
    <row r="38" spans="1:8" ht="15.75" customHeight="1">
      <c r="A38" s="75"/>
      <c r="B38" s="415"/>
      <c r="C38" s="415"/>
      <c r="D38" s="138"/>
      <c r="E38" s="672"/>
      <c r="F38" s="519"/>
      <c r="G38" s="68"/>
    </row>
    <row r="39" spans="1:8" ht="15.75" customHeight="1">
      <c r="A39" s="10"/>
      <c r="B39" s="10"/>
      <c r="C39" s="10"/>
      <c r="D39" s="10"/>
      <c r="E39" s="10"/>
      <c r="F39" s="10"/>
      <c r="G39" s="10"/>
      <c r="H39" s="158"/>
    </row>
    <row r="40" spans="1:8" ht="18" customHeight="1">
      <c r="A40" s="10"/>
      <c r="B40" s="10"/>
      <c r="D40" s="593" t="s">
        <v>456</v>
      </c>
      <c r="E40" s="516"/>
      <c r="F40" s="516"/>
      <c r="G40" s="517"/>
    </row>
    <row r="41" spans="1:8" ht="4.5" customHeight="1">
      <c r="A41" s="10"/>
      <c r="B41" s="10"/>
      <c r="D41" s="10"/>
      <c r="E41" s="10"/>
      <c r="F41" s="10"/>
      <c r="G41" s="10"/>
    </row>
    <row r="42" spans="1:8" ht="15.75" customHeight="1">
      <c r="A42" s="10"/>
      <c r="B42" s="10"/>
      <c r="D42" s="10"/>
      <c r="E42" s="216" t="s">
        <v>139</v>
      </c>
      <c r="F42" s="79" t="s">
        <v>148</v>
      </c>
      <c r="G42" s="416" t="s">
        <v>188</v>
      </c>
    </row>
    <row r="43" spans="1:8" ht="15.75" customHeight="1">
      <c r="A43" s="10"/>
      <c r="B43" s="10"/>
      <c r="D43" s="417" t="s">
        <v>457</v>
      </c>
      <c r="E43" s="327">
        <f>SUMIF(D13:D22,"Petit Camion Cantine",G13:G22)</f>
        <v>0</v>
      </c>
      <c r="F43" s="94">
        <f>SUMIF(D26:D38,"Petit Camion Cantine",G26:G38)</f>
        <v>0</v>
      </c>
      <c r="G43" s="418">
        <f t="shared" ref="G43:G48" si="0">SUM(E43,F43)</f>
        <v>0</v>
      </c>
    </row>
    <row r="44" spans="1:8" ht="15.75" customHeight="1">
      <c r="A44" s="10"/>
      <c r="B44" s="10"/>
      <c r="D44" s="419" t="s">
        <v>458</v>
      </c>
      <c r="E44" s="329">
        <f>SUMIF(D13:D22,"Moyen Camion Cantine",G13:G22)</f>
        <v>0</v>
      </c>
      <c r="F44" s="8">
        <f>SUMIF(D26:D38,"Moyen Camion Cantine",G26:G38)</f>
        <v>0</v>
      </c>
      <c r="G44" s="420">
        <f t="shared" si="0"/>
        <v>0</v>
      </c>
    </row>
    <row r="45" spans="1:8" ht="15.75" customHeight="1">
      <c r="A45" s="10"/>
      <c r="B45" s="10"/>
      <c r="D45" s="421" t="s">
        <v>459</v>
      </c>
      <c r="E45" s="422">
        <f>SUMIF(D13:D22,"Grand Camion Cantine",G13:G22)</f>
        <v>0</v>
      </c>
      <c r="F45" s="88">
        <f>SUMIF(D26:D38,"Grand Camion Cantine",G26:G38)</f>
        <v>0</v>
      </c>
      <c r="G45" s="423">
        <f t="shared" si="0"/>
        <v>0</v>
      </c>
    </row>
    <row r="46" spans="1:8" ht="15.75" customHeight="1">
      <c r="A46" s="10"/>
      <c r="B46" s="10"/>
      <c r="D46" s="417" t="s">
        <v>447</v>
      </c>
      <c r="E46" s="327">
        <f>SUMIF(D13:D22,"Petite Loge",G13:G22)</f>
        <v>10</v>
      </c>
      <c r="F46" s="94">
        <f>SUMIF(D26:D38,"Petite Loge",G26:G38)</f>
        <v>5</v>
      </c>
      <c r="G46" s="418">
        <f t="shared" si="0"/>
        <v>15</v>
      </c>
    </row>
    <row r="47" spans="1:8" ht="15.75" customHeight="1">
      <c r="A47" s="10"/>
      <c r="B47" s="10"/>
      <c r="D47" s="419" t="s">
        <v>460</v>
      </c>
      <c r="E47" s="329">
        <f>SUMIF(D13:D22,"Moyenne Loge",G13:G22)</f>
        <v>0</v>
      </c>
      <c r="F47" s="8">
        <f>SUMIF(D26:D38,"Moyenne Loge",G26:G38)</f>
        <v>0</v>
      </c>
      <c r="G47" s="420">
        <f t="shared" si="0"/>
        <v>0</v>
      </c>
    </row>
    <row r="48" spans="1:8" ht="15.75" customHeight="1">
      <c r="A48" s="10"/>
      <c r="B48" s="10"/>
      <c r="D48" s="421" t="s">
        <v>461</v>
      </c>
      <c r="E48" s="422">
        <f>SUMIF(D13:D22,"Grande Loge",G13:G22)</f>
        <v>0</v>
      </c>
      <c r="F48" s="88">
        <f>SUMIF(D26:D38,"Grande Loge",G26:G38)</f>
        <v>0</v>
      </c>
      <c r="G48" s="423">
        <f t="shared" si="0"/>
        <v>0</v>
      </c>
    </row>
    <row r="49" spans="1:15" ht="7.5" customHeight="1">
      <c r="A49" s="10"/>
      <c r="B49" s="10"/>
      <c r="D49" s="10"/>
      <c r="E49" s="10"/>
      <c r="F49" s="10"/>
      <c r="G49" s="10"/>
    </row>
    <row r="50" spans="1:15" ht="15.75" customHeight="1">
      <c r="A50" s="10"/>
      <c r="B50" s="10"/>
      <c r="D50" s="10"/>
      <c r="E50" s="10"/>
      <c r="F50" s="216" t="s">
        <v>188</v>
      </c>
      <c r="G50" s="424">
        <f>SUM(G43:G48)</f>
        <v>15</v>
      </c>
    </row>
    <row r="51" spans="1:15" ht="15.75" customHeight="1">
      <c r="A51" s="1"/>
      <c r="B51" s="1"/>
      <c r="C51" s="1"/>
      <c r="D51" s="1"/>
      <c r="E51" s="1"/>
      <c r="F51" s="1"/>
      <c r="I51" s="1"/>
      <c r="J51" s="1"/>
      <c r="K51" s="1"/>
      <c r="L51" s="1"/>
      <c r="M51" s="1"/>
      <c r="N51" s="1"/>
      <c r="O51" s="1"/>
    </row>
    <row r="52" spans="1:15" ht="15.75" customHeight="1"/>
    <row r="53" spans="1:15" ht="15.75" customHeight="1"/>
    <row r="54" spans="1:15" ht="15.75" customHeight="1"/>
    <row r="55" spans="1:15" ht="15.75" customHeight="1"/>
    <row r="56" spans="1:15" ht="15.75" customHeight="1"/>
    <row r="57" spans="1:15" ht="15.75" customHeight="1"/>
    <row r="58" spans="1:15" ht="15.75" customHeight="1"/>
    <row r="59" spans="1:15" ht="15.75" customHeight="1"/>
    <row r="60" spans="1:15" ht="15.75" customHeight="1"/>
    <row r="61" spans="1:15" ht="15.75" customHeight="1"/>
    <row r="62" spans="1:15" ht="15.75" customHeight="1"/>
    <row r="63" spans="1:15" ht="15.75" customHeight="1"/>
    <row r="64" spans="1:1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D40:G40"/>
    <mergeCell ref="E26:F26"/>
    <mergeCell ref="E27:F27"/>
    <mergeCell ref="E28:F28"/>
    <mergeCell ref="E29:F29"/>
    <mergeCell ref="E30:F30"/>
    <mergeCell ref="E31:F31"/>
    <mergeCell ref="E32:F32"/>
    <mergeCell ref="E34:F34"/>
    <mergeCell ref="E35:F35"/>
    <mergeCell ref="E36:F36"/>
    <mergeCell ref="E37:F37"/>
    <mergeCell ref="E38:F38"/>
    <mergeCell ref="E20:F20"/>
    <mergeCell ref="E21:F21"/>
    <mergeCell ref="E22:F22"/>
    <mergeCell ref="B24:G24"/>
    <mergeCell ref="E33:F33"/>
    <mergeCell ref="E15:F15"/>
    <mergeCell ref="E16:F16"/>
    <mergeCell ref="E17:F17"/>
    <mergeCell ref="E18:F18"/>
    <mergeCell ref="E19:F19"/>
    <mergeCell ref="A2:G2"/>
    <mergeCell ref="E9:F9"/>
    <mergeCell ref="B11:G11"/>
    <mergeCell ref="E13:F13"/>
    <mergeCell ref="E14:F14"/>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E00-000000000000}">
          <x14:formula1>
            <xm:f>Données!$F$82:$F$87</xm:f>
          </x14:formula1>
          <xm:sqref>D13:D22 D26:D38</xm:sqref>
        </x14:dataValidation>
        <x14:dataValidation type="list" allowBlank="1" showErrorMessage="1" xr:uid="{00000000-0002-0000-0E00-000001000000}">
          <x14:formula1>
            <xm:f>Données!$F$92:$F$93</xm:f>
          </x14:formula1>
          <xm:sqref>E13:E22 E26:E38</xm:sqref>
        </x14:dataValidation>
        <x14:dataValidation type="list" allowBlank="1" showErrorMessage="1" xr:uid="{00000000-0002-0000-0E00-000002000000}">
          <x14:formula1>
            <xm:f>Données!$D$37:$D$39</xm:f>
          </x14:formula1>
          <xm:sqref>A13:A22 A26:A38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7C39F"/>
  </sheetPr>
  <dimension ref="A1:Z1000"/>
  <sheetViews>
    <sheetView tabSelected="1" topLeftCell="A57" workbookViewId="0">
      <selection activeCell="K62" sqref="K62"/>
    </sheetView>
  </sheetViews>
  <sheetFormatPr baseColWidth="10" defaultColWidth="11.125" defaultRowHeight="15" customHeight="1"/>
  <cols>
    <col min="1" max="1" width="8.5" customWidth="1"/>
    <col min="2" max="4" width="25.5" customWidth="1"/>
    <col min="5" max="8" width="16.5" customWidth="1"/>
    <col min="9" max="9" width="15.5" customWidth="1"/>
    <col min="10" max="26" width="11" customWidth="1"/>
  </cols>
  <sheetData>
    <row r="1" spans="1:26" ht="15.75" customHeight="1"/>
    <row r="2" spans="1:26" ht="15.75" customHeight="1">
      <c r="A2" s="565" t="s">
        <v>462</v>
      </c>
      <c r="B2" s="516"/>
      <c r="C2" s="516"/>
      <c r="D2" s="516"/>
      <c r="E2" s="516"/>
      <c r="F2" s="516"/>
      <c r="G2" s="516"/>
      <c r="H2" s="517"/>
    </row>
    <row r="3" spans="1:26" ht="15.75" customHeight="1">
      <c r="A3" s="6"/>
      <c r="B3" s="6"/>
      <c r="C3" s="6"/>
      <c r="D3" s="6"/>
      <c r="E3" s="6"/>
      <c r="F3" s="6"/>
      <c r="G3" s="6"/>
      <c r="H3" s="6"/>
      <c r="I3" s="6"/>
      <c r="J3" s="6"/>
      <c r="K3" s="6"/>
      <c r="L3" s="6"/>
      <c r="M3" s="6"/>
      <c r="N3" s="6"/>
      <c r="O3" s="6"/>
      <c r="P3" s="6"/>
      <c r="Q3" s="6"/>
      <c r="R3" s="6"/>
      <c r="S3" s="6"/>
      <c r="T3" s="6"/>
      <c r="U3" s="6"/>
      <c r="V3" s="6"/>
      <c r="W3" s="6"/>
      <c r="X3" s="6"/>
      <c r="Y3" s="6"/>
      <c r="Z3" s="6"/>
    </row>
    <row r="4" spans="1:26" ht="15.75" customHeight="1">
      <c r="A4" s="10"/>
      <c r="B4" s="10"/>
      <c r="C4" s="698" t="s">
        <v>463</v>
      </c>
      <c r="D4" s="699"/>
      <c r="E4" s="10"/>
      <c r="F4" s="10"/>
      <c r="G4" s="10"/>
      <c r="H4" s="10"/>
      <c r="I4" s="157" t="s">
        <v>464</v>
      </c>
    </row>
    <row r="5" spans="1:26" ht="18.75" customHeight="1">
      <c r="A5" s="10"/>
      <c r="B5" s="10"/>
      <c r="C5" s="622"/>
      <c r="D5" s="624"/>
      <c r="E5" s="10"/>
      <c r="F5" s="10"/>
      <c r="G5" s="10"/>
      <c r="H5" s="10"/>
    </row>
    <row r="6" spans="1:26" ht="15.75" customHeight="1">
      <c r="A6" s="10"/>
      <c r="B6" s="10"/>
      <c r="C6" s="10"/>
      <c r="D6" s="10"/>
      <c r="E6" s="414"/>
      <c r="F6" s="6"/>
      <c r="G6" s="6"/>
      <c r="H6" s="6"/>
      <c r="I6" s="157"/>
    </row>
    <row r="7" spans="1:26" ht="15" customHeight="1">
      <c r="A7" s="192"/>
      <c r="B7" s="3" t="s">
        <v>785</v>
      </c>
      <c r="C7" s="192"/>
      <c r="D7" s="192"/>
      <c r="E7" s="192"/>
      <c r="F7" s="192"/>
      <c r="G7" s="192"/>
      <c r="H7" s="192"/>
      <c r="I7" s="192"/>
      <c r="J7" s="192"/>
      <c r="K7" s="192"/>
      <c r="L7" s="192"/>
      <c r="M7" s="192"/>
      <c r="N7" s="192"/>
      <c r="O7" s="192"/>
      <c r="P7" s="192"/>
      <c r="Q7" s="192"/>
      <c r="R7" s="192"/>
      <c r="S7" s="192"/>
      <c r="T7" s="192"/>
      <c r="U7" s="192"/>
      <c r="V7" s="192"/>
      <c r="W7" s="192"/>
      <c r="X7" s="192"/>
      <c r="Y7" s="192"/>
      <c r="Z7" s="192"/>
    </row>
    <row r="8" spans="1:26" ht="15" customHeight="1">
      <c r="A8" s="12"/>
      <c r="B8" s="33" t="s">
        <v>111</v>
      </c>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c r="A9" s="12"/>
      <c r="B9" s="34" t="s">
        <v>112</v>
      </c>
      <c r="C9" s="12"/>
      <c r="D9" s="12"/>
      <c r="E9" s="12"/>
      <c r="F9" s="12"/>
      <c r="G9" s="12"/>
      <c r="H9" s="12"/>
      <c r="I9" s="12"/>
      <c r="J9" s="12"/>
      <c r="K9" s="12"/>
      <c r="L9" s="12"/>
      <c r="M9" s="12"/>
      <c r="N9" s="12"/>
      <c r="O9" s="12"/>
      <c r="P9" s="12"/>
      <c r="Q9" s="12"/>
      <c r="R9" s="12"/>
      <c r="S9" s="12"/>
      <c r="T9" s="12"/>
      <c r="U9" s="12"/>
      <c r="V9" s="12"/>
      <c r="W9" s="12"/>
      <c r="X9" s="12"/>
      <c r="Y9" s="12"/>
      <c r="Z9" s="12"/>
    </row>
    <row r="10" spans="1:26" ht="15" customHeight="1">
      <c r="A10" s="12"/>
      <c r="B10" s="3" t="s">
        <v>166</v>
      </c>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15.75" customHeight="1">
      <c r="A11" s="10"/>
      <c r="B11" s="10"/>
      <c r="C11" s="10"/>
      <c r="D11" s="10"/>
      <c r="E11" s="414"/>
      <c r="F11" s="6"/>
      <c r="G11" s="6"/>
      <c r="H11" s="157"/>
    </row>
    <row r="12" spans="1:26" ht="15.75" customHeight="1">
      <c r="A12" s="10"/>
      <c r="B12" s="2" t="s">
        <v>465</v>
      </c>
      <c r="C12" s="10"/>
      <c r="D12" s="10"/>
      <c r="E12" s="414"/>
      <c r="F12" s="6"/>
      <c r="G12" s="6"/>
      <c r="H12" s="6"/>
      <c r="I12" s="157"/>
    </row>
    <row r="13" spans="1:26" ht="15.75" customHeight="1">
      <c r="A13" s="10"/>
      <c r="B13" s="3" t="s">
        <v>466</v>
      </c>
      <c r="C13" s="10"/>
      <c r="D13" s="425" t="s">
        <v>337</v>
      </c>
      <c r="E13" s="414"/>
      <c r="F13" s="6"/>
      <c r="G13" s="6"/>
      <c r="H13" s="6"/>
      <c r="I13" s="157"/>
    </row>
    <row r="14" spans="1:26" ht="15.75" customHeight="1">
      <c r="A14" s="10"/>
      <c r="B14" s="10"/>
      <c r="C14" s="10"/>
      <c r="D14" s="10"/>
      <c r="E14" s="414"/>
      <c r="F14" s="6"/>
      <c r="G14" s="6"/>
      <c r="H14" s="6"/>
      <c r="I14" s="157"/>
    </row>
    <row r="15" spans="1:26" ht="60" customHeight="1">
      <c r="A15" s="144" t="s">
        <v>114</v>
      </c>
      <c r="B15" s="145" t="s">
        <v>167</v>
      </c>
      <c r="C15" s="193" t="s">
        <v>444</v>
      </c>
      <c r="D15" s="193" t="s">
        <v>467</v>
      </c>
      <c r="E15" s="193" t="s">
        <v>468</v>
      </c>
      <c r="F15" s="145" t="s">
        <v>446</v>
      </c>
      <c r="G15" s="145" t="s">
        <v>175</v>
      </c>
      <c r="H15" s="146" t="s">
        <v>469</v>
      </c>
    </row>
    <row r="16" spans="1:26" ht="4.5" customHeight="1">
      <c r="A16" s="6"/>
      <c r="B16" s="6"/>
      <c r="C16" s="11"/>
      <c r="D16" s="6"/>
      <c r="E16" s="6"/>
      <c r="F16" s="6"/>
      <c r="G16" s="6"/>
      <c r="H16" s="6"/>
      <c r="I16" s="6"/>
      <c r="J16" s="6"/>
      <c r="K16" s="6"/>
      <c r="L16" s="6"/>
      <c r="M16" s="6"/>
      <c r="N16" s="6"/>
      <c r="O16" s="6"/>
      <c r="P16" s="6"/>
      <c r="Q16" s="6"/>
      <c r="R16" s="6"/>
      <c r="S16" s="6"/>
      <c r="T16" s="6"/>
      <c r="U16" s="6"/>
      <c r="V16" s="6"/>
      <c r="W16" s="6"/>
      <c r="X16" s="6"/>
      <c r="Y16" s="6"/>
      <c r="Z16" s="6"/>
    </row>
    <row r="17" spans="1:26" ht="18" customHeight="1">
      <c r="A17" s="6"/>
      <c r="B17" s="700" t="s">
        <v>176</v>
      </c>
      <c r="C17" s="521"/>
      <c r="D17" s="521"/>
      <c r="E17" s="521"/>
      <c r="F17" s="521"/>
      <c r="G17" s="521"/>
      <c r="H17" s="519"/>
      <c r="I17" s="6"/>
      <c r="J17" s="6"/>
      <c r="K17" s="6"/>
      <c r="L17" s="6"/>
      <c r="M17" s="6"/>
      <c r="N17" s="6"/>
      <c r="O17" s="6"/>
      <c r="P17" s="6"/>
      <c r="Q17" s="6"/>
      <c r="R17" s="6"/>
      <c r="S17" s="6"/>
      <c r="T17" s="6"/>
      <c r="U17" s="6"/>
      <c r="V17" s="6"/>
      <c r="W17" s="6"/>
      <c r="X17" s="6"/>
      <c r="Y17" s="6"/>
      <c r="Z17" s="6"/>
    </row>
    <row r="18" spans="1:26" ht="4.5" customHeight="1">
      <c r="A18" s="6"/>
      <c r="B18" s="6"/>
      <c r="C18" s="11"/>
      <c r="D18" s="6"/>
      <c r="E18" s="6"/>
      <c r="F18" s="6"/>
      <c r="G18" s="6"/>
      <c r="H18" s="6"/>
      <c r="I18" s="6"/>
      <c r="J18" s="6"/>
      <c r="K18" s="6"/>
      <c r="L18" s="6"/>
      <c r="M18" s="6"/>
      <c r="N18" s="6"/>
      <c r="O18" s="6"/>
      <c r="P18" s="6"/>
      <c r="Q18" s="6"/>
      <c r="R18" s="6"/>
      <c r="S18" s="6"/>
      <c r="T18" s="6"/>
      <c r="U18" s="6"/>
      <c r="V18" s="6"/>
      <c r="W18" s="6"/>
      <c r="X18" s="6"/>
      <c r="Y18" s="6"/>
      <c r="Z18" s="6"/>
    </row>
    <row r="19" spans="1:26" ht="15.75" customHeight="1">
      <c r="A19" s="75" t="s">
        <v>136</v>
      </c>
      <c r="B19" s="415"/>
      <c r="C19" s="8"/>
      <c r="D19" s="138" t="s">
        <v>470</v>
      </c>
      <c r="E19" s="8"/>
      <c r="F19" s="138" t="s">
        <v>471</v>
      </c>
      <c r="G19" s="8"/>
      <c r="H19" s="426">
        <v>10</v>
      </c>
    </row>
    <row r="20" spans="1:26" ht="15.75" customHeight="1">
      <c r="A20" s="75" t="s">
        <v>136</v>
      </c>
      <c r="B20" s="415"/>
      <c r="C20" s="8"/>
      <c r="D20" s="138"/>
      <c r="E20" s="8"/>
      <c r="F20" s="138"/>
      <c r="G20" s="8"/>
      <c r="H20" s="426"/>
    </row>
    <row r="21" spans="1:26" ht="15.75" customHeight="1">
      <c r="A21" s="75" t="s">
        <v>136</v>
      </c>
      <c r="B21" s="415"/>
      <c r="C21" s="8"/>
      <c r="D21" s="138"/>
      <c r="E21" s="8"/>
      <c r="F21" s="138"/>
      <c r="G21" s="8"/>
      <c r="H21" s="426"/>
    </row>
    <row r="22" spans="1:26" ht="15.75" customHeight="1">
      <c r="A22" s="75" t="s">
        <v>150</v>
      </c>
      <c r="B22" s="415"/>
      <c r="C22" s="8"/>
      <c r="D22" s="138" t="s">
        <v>472</v>
      </c>
      <c r="E22" s="8"/>
      <c r="F22" s="138" t="s">
        <v>473</v>
      </c>
      <c r="G22" s="8"/>
      <c r="H22" s="428" t="s">
        <v>183</v>
      </c>
    </row>
    <row r="23" spans="1:26" ht="15.75" customHeight="1">
      <c r="A23" s="75" t="s">
        <v>136</v>
      </c>
      <c r="B23" s="415"/>
      <c r="C23" s="8"/>
      <c r="D23" s="138"/>
      <c r="E23" s="8"/>
      <c r="F23" s="138"/>
      <c r="G23" s="8"/>
      <c r="H23" s="426"/>
    </row>
    <row r="24" spans="1:26" ht="15.75" customHeight="1">
      <c r="A24" s="75" t="s">
        <v>136</v>
      </c>
      <c r="B24" s="415"/>
      <c r="C24" s="8"/>
      <c r="D24" s="138"/>
      <c r="E24" s="8"/>
      <c r="F24" s="138"/>
      <c r="G24" s="8"/>
      <c r="H24" s="426"/>
    </row>
    <row r="25" spans="1:26" ht="15.75" customHeight="1">
      <c r="A25" s="75" t="s">
        <v>136</v>
      </c>
      <c r="B25" s="415"/>
      <c r="C25" s="8"/>
      <c r="D25" s="138"/>
      <c r="E25" s="8"/>
      <c r="F25" s="138"/>
      <c r="G25" s="8"/>
      <c r="H25" s="426"/>
    </row>
    <row r="26" spans="1:26" ht="15.75" customHeight="1">
      <c r="A26" s="75" t="s">
        <v>136</v>
      </c>
      <c r="B26" s="415"/>
      <c r="C26" s="8"/>
      <c r="D26" s="138"/>
      <c r="E26" s="8"/>
      <c r="F26" s="138"/>
      <c r="G26" s="8"/>
      <c r="H26" s="426"/>
    </row>
    <row r="27" spans="1:26" ht="15.75" customHeight="1">
      <c r="A27" s="75" t="s">
        <v>136</v>
      </c>
      <c r="B27" s="415"/>
      <c r="C27" s="8"/>
      <c r="D27" s="138"/>
      <c r="E27" s="427"/>
      <c r="F27" s="138"/>
      <c r="G27" s="427"/>
      <c r="H27" s="426"/>
    </row>
    <row r="28" spans="1:26" ht="15.75" customHeight="1">
      <c r="A28" s="75" t="s">
        <v>136</v>
      </c>
      <c r="B28" s="415"/>
      <c r="C28" s="8"/>
      <c r="D28" s="138"/>
      <c r="E28" s="8"/>
      <c r="F28" s="138"/>
      <c r="G28" s="8"/>
      <c r="H28" s="426"/>
    </row>
    <row r="29" spans="1:26" ht="15.75" customHeight="1">
      <c r="A29" s="75" t="s">
        <v>136</v>
      </c>
      <c r="B29" s="415"/>
      <c r="C29" s="8"/>
      <c r="D29" s="138"/>
      <c r="E29" s="8"/>
      <c r="F29" s="138"/>
      <c r="G29" s="8"/>
      <c r="H29" s="426"/>
    </row>
    <row r="30" spans="1:26" ht="4.5" customHeight="1">
      <c r="A30" s="6"/>
      <c r="B30" s="6"/>
      <c r="C30" s="11"/>
      <c r="D30" s="6"/>
      <c r="E30" s="6"/>
      <c r="F30" s="6"/>
      <c r="G30" s="6"/>
      <c r="H30" s="6"/>
      <c r="I30" s="6"/>
      <c r="J30" s="6"/>
      <c r="K30" s="6"/>
      <c r="L30" s="6"/>
      <c r="M30" s="6"/>
      <c r="N30" s="6"/>
      <c r="O30" s="6"/>
      <c r="P30" s="6"/>
      <c r="Q30" s="6"/>
      <c r="R30" s="6"/>
      <c r="S30" s="6"/>
      <c r="T30" s="6"/>
      <c r="U30" s="6"/>
      <c r="V30" s="6"/>
      <c r="W30" s="6"/>
      <c r="X30" s="6"/>
      <c r="Y30" s="6"/>
      <c r="Z30" s="6"/>
    </row>
    <row r="31" spans="1:26" ht="18" customHeight="1">
      <c r="A31" s="6"/>
      <c r="B31" s="700" t="s">
        <v>182</v>
      </c>
      <c r="C31" s="521"/>
      <c r="D31" s="521"/>
      <c r="E31" s="521"/>
      <c r="F31" s="521"/>
      <c r="G31" s="521"/>
      <c r="H31" s="519"/>
      <c r="I31" s="6"/>
      <c r="J31" s="6"/>
      <c r="K31" s="6"/>
      <c r="L31" s="6"/>
      <c r="M31" s="6"/>
      <c r="N31" s="6"/>
      <c r="O31" s="6"/>
      <c r="P31" s="6"/>
      <c r="Q31" s="6"/>
      <c r="R31" s="6"/>
      <c r="S31" s="6"/>
      <c r="T31" s="6"/>
      <c r="U31" s="6"/>
      <c r="V31" s="6"/>
      <c r="W31" s="6"/>
      <c r="X31" s="6"/>
      <c r="Y31" s="6"/>
      <c r="Z31" s="6"/>
    </row>
    <row r="32" spans="1:26" ht="4.5" customHeight="1">
      <c r="A32" s="6"/>
      <c r="B32" s="6"/>
      <c r="C32" s="11"/>
      <c r="D32" s="6"/>
      <c r="E32" s="6"/>
      <c r="F32" s="6"/>
      <c r="G32" s="6"/>
      <c r="H32" s="6"/>
      <c r="I32" s="6"/>
      <c r="J32" s="6"/>
      <c r="K32" s="6"/>
      <c r="L32" s="6"/>
      <c r="M32" s="6"/>
      <c r="N32" s="6"/>
      <c r="O32" s="6"/>
      <c r="P32" s="6"/>
      <c r="Q32" s="6"/>
      <c r="R32" s="6"/>
      <c r="S32" s="6"/>
      <c r="T32" s="6"/>
      <c r="U32" s="6"/>
      <c r="V32" s="6"/>
      <c r="W32" s="6"/>
      <c r="X32" s="6"/>
      <c r="Y32" s="6"/>
      <c r="Z32" s="6"/>
    </row>
    <row r="33" spans="1:8" ht="15.75" customHeight="1">
      <c r="A33" s="75" t="s">
        <v>146</v>
      </c>
      <c r="B33" s="415"/>
      <c r="C33" s="8"/>
      <c r="D33" s="138" t="s">
        <v>472</v>
      </c>
      <c r="E33" s="8"/>
      <c r="F33" s="138" t="s">
        <v>473</v>
      </c>
      <c r="G33" s="8"/>
      <c r="H33" s="428" t="s">
        <v>183</v>
      </c>
    </row>
    <row r="34" spans="1:8" ht="15.75" customHeight="1">
      <c r="A34" s="75" t="s">
        <v>146</v>
      </c>
      <c r="B34" s="415"/>
      <c r="C34" s="8"/>
      <c r="D34" s="138"/>
      <c r="E34" s="8"/>
      <c r="F34" s="138"/>
      <c r="G34" s="8"/>
      <c r="H34" s="426"/>
    </row>
    <row r="35" spans="1:8" ht="15.75" customHeight="1">
      <c r="A35" s="75" t="s">
        <v>146</v>
      </c>
      <c r="B35" s="415"/>
      <c r="C35" s="8"/>
      <c r="D35" s="138"/>
      <c r="E35" s="8"/>
      <c r="F35" s="138"/>
      <c r="G35" s="8"/>
      <c r="H35" s="426"/>
    </row>
    <row r="36" spans="1:8" ht="15.75" customHeight="1">
      <c r="A36" s="75" t="s">
        <v>136</v>
      </c>
      <c r="B36" s="415"/>
      <c r="C36" s="8"/>
      <c r="D36" s="138"/>
      <c r="E36" s="8"/>
      <c r="F36" s="138"/>
      <c r="G36" s="8"/>
      <c r="H36" s="426"/>
    </row>
    <row r="37" spans="1:8" ht="15.75" customHeight="1">
      <c r="A37" s="75" t="s">
        <v>136</v>
      </c>
      <c r="B37" s="415"/>
      <c r="C37" s="8"/>
      <c r="D37" s="138"/>
      <c r="E37" s="8"/>
      <c r="F37" s="138"/>
      <c r="G37" s="8"/>
      <c r="H37" s="426"/>
    </row>
    <row r="38" spans="1:8" ht="15.75" customHeight="1">
      <c r="A38" s="75" t="s">
        <v>136</v>
      </c>
      <c r="B38" s="415"/>
      <c r="C38" s="8"/>
      <c r="D38" s="138"/>
      <c r="E38" s="8"/>
      <c r="F38" s="138"/>
      <c r="G38" s="8"/>
      <c r="H38" s="426"/>
    </row>
    <row r="39" spans="1:8" ht="15.75" customHeight="1">
      <c r="A39" s="75" t="s">
        <v>136</v>
      </c>
      <c r="B39" s="415"/>
      <c r="C39" s="8"/>
      <c r="D39" s="138"/>
      <c r="E39" s="427"/>
      <c r="F39" s="138"/>
      <c r="G39" s="427"/>
      <c r="H39" s="426"/>
    </row>
    <row r="40" spans="1:8" ht="15.75" customHeight="1">
      <c r="A40" s="75" t="s">
        <v>136</v>
      </c>
      <c r="B40" s="415"/>
      <c r="C40" s="8"/>
      <c r="D40" s="138"/>
      <c r="E40" s="8"/>
      <c r="F40" s="138"/>
      <c r="G40" s="8"/>
      <c r="H40" s="426"/>
    </row>
    <row r="41" spans="1:8" ht="15.75" customHeight="1">
      <c r="A41" s="75" t="s">
        <v>136</v>
      </c>
      <c r="B41" s="415"/>
      <c r="C41" s="8"/>
      <c r="D41" s="138"/>
      <c r="E41" s="8"/>
      <c r="F41" s="138"/>
      <c r="G41" s="8"/>
      <c r="H41" s="426"/>
    </row>
    <row r="42" spans="1:8" ht="15.75" customHeight="1">
      <c r="A42" s="75" t="s">
        <v>136</v>
      </c>
      <c r="B42" s="415"/>
      <c r="C42" s="8"/>
      <c r="D42" s="138"/>
      <c r="E42" s="8"/>
      <c r="F42" s="138"/>
      <c r="G42" s="8"/>
      <c r="H42" s="426"/>
    </row>
    <row r="43" spans="1:8" ht="15.75" customHeight="1">
      <c r="A43" s="75" t="s">
        <v>136</v>
      </c>
      <c r="B43" s="415"/>
      <c r="C43" s="8"/>
      <c r="D43" s="138"/>
      <c r="E43" s="427"/>
      <c r="F43" s="138"/>
      <c r="G43" s="427"/>
      <c r="H43" s="426"/>
    </row>
    <row r="44" spans="1:8" ht="15.75" customHeight="1">
      <c r="A44" s="75" t="s">
        <v>136</v>
      </c>
      <c r="B44" s="415"/>
      <c r="C44" s="8"/>
    </row>
    <row r="45" spans="1:8" ht="15.75" customHeight="1">
      <c r="A45" s="75" t="s">
        <v>136</v>
      </c>
      <c r="B45" s="415"/>
      <c r="C45" s="8"/>
      <c r="D45" s="138"/>
      <c r="E45" s="8"/>
      <c r="F45" s="138"/>
      <c r="G45" s="8"/>
      <c r="H45" s="426"/>
    </row>
    <row r="46" spans="1:8" ht="15.75" customHeight="1">
      <c r="A46" s="75" t="s">
        <v>136</v>
      </c>
      <c r="B46" s="415"/>
      <c r="C46" s="8"/>
      <c r="D46" s="138"/>
      <c r="E46" s="8"/>
      <c r="F46" s="138"/>
      <c r="G46" s="8"/>
      <c r="H46" s="426"/>
    </row>
    <row r="47" spans="1:8" ht="15.75" customHeight="1">
      <c r="A47" s="75" t="s">
        <v>136</v>
      </c>
      <c r="B47" s="415"/>
      <c r="C47" s="8"/>
      <c r="D47" s="138"/>
      <c r="E47" s="8"/>
      <c r="F47" s="138"/>
      <c r="G47" s="8"/>
      <c r="H47" s="426"/>
    </row>
    <row r="48" spans="1:8" ht="15.75" customHeight="1">
      <c r="A48" s="75" t="s">
        <v>136</v>
      </c>
      <c r="B48" s="415"/>
      <c r="C48" s="8"/>
      <c r="D48" s="138"/>
      <c r="E48" s="8"/>
      <c r="F48" s="138"/>
      <c r="G48" s="8"/>
      <c r="H48" s="426"/>
    </row>
    <row r="49" spans="1:9" ht="15.75" customHeight="1">
      <c r="A49" s="10"/>
      <c r="B49" s="10"/>
      <c r="C49" s="10"/>
      <c r="D49" s="10"/>
      <c r="E49" s="414"/>
      <c r="F49" s="6"/>
      <c r="G49" s="6"/>
      <c r="H49" s="6"/>
      <c r="I49" s="157"/>
    </row>
    <row r="50" spans="1:9" ht="15.75" customHeight="1">
      <c r="A50" s="10"/>
      <c r="B50" s="10"/>
      <c r="C50" s="10"/>
      <c r="D50" s="10"/>
      <c r="E50" s="10"/>
      <c r="F50" s="10"/>
      <c r="G50" s="10"/>
      <c r="H50" s="10"/>
      <c r="I50" s="158"/>
    </row>
    <row r="51" spans="1:9" ht="15.75" customHeight="1">
      <c r="A51" s="10"/>
      <c r="B51" s="10"/>
      <c r="D51" s="593" t="s">
        <v>479</v>
      </c>
      <c r="E51" s="516"/>
      <c r="F51" s="516"/>
      <c r="G51" s="516"/>
      <c r="H51" s="517"/>
    </row>
    <row r="52" spans="1:9" ht="15.75" customHeight="1">
      <c r="A52" s="10"/>
      <c r="B52" s="10"/>
      <c r="E52" s="10"/>
      <c r="F52" s="10"/>
      <c r="G52" s="10"/>
      <c r="H52" s="10"/>
    </row>
    <row r="53" spans="1:9" ht="15.75" customHeight="1">
      <c r="A53" s="10"/>
      <c r="B53" s="10"/>
      <c r="E53" s="10"/>
      <c r="F53" s="78" t="s">
        <v>139</v>
      </c>
      <c r="G53" s="429" t="s">
        <v>148</v>
      </c>
      <c r="H53" s="416" t="s">
        <v>188</v>
      </c>
    </row>
    <row r="54" spans="1:9" ht="15.75" customHeight="1">
      <c r="A54" s="10"/>
      <c r="B54" s="10"/>
      <c r="D54" s="701" t="s">
        <v>471</v>
      </c>
      <c r="E54" s="702"/>
      <c r="F54" s="430">
        <f>SUMIF(F19:F29,"Diesel / Fioul",H19:H29)</f>
        <v>10</v>
      </c>
      <c r="G54" s="431">
        <f>SUMIF(F33:F48,"Diesel / Fioul",H33:H48)</f>
        <v>0</v>
      </c>
      <c r="H54" s="432">
        <f t="shared" ref="H54:H58" si="0">SUM(F54,G54)</f>
        <v>10</v>
      </c>
    </row>
    <row r="55" spans="1:9" ht="15.75" customHeight="1">
      <c r="A55" s="10"/>
      <c r="B55" s="10"/>
      <c r="D55" s="701" t="s">
        <v>478</v>
      </c>
      <c r="E55" s="702"/>
      <c r="F55" s="433">
        <f>SUMIF(F19:F29,"Biodiesiel HVO 100",H19:H29)</f>
        <v>0</v>
      </c>
      <c r="G55" s="426">
        <f>SUMIF(F33:F48,"Biodiesel HVO 100",H33:H48)</f>
        <v>0</v>
      </c>
      <c r="H55" s="434">
        <f t="shared" si="0"/>
        <v>0</v>
      </c>
    </row>
    <row r="56" spans="1:9" ht="15.75" customHeight="1">
      <c r="A56" s="10"/>
      <c r="B56" s="10"/>
      <c r="D56" s="701" t="s">
        <v>477</v>
      </c>
      <c r="E56" s="702"/>
      <c r="F56" s="433">
        <f>SUMIF(F19:F29,"Essence SP",H19:H29)</f>
        <v>0</v>
      </c>
      <c r="G56" s="426">
        <f>SUMIF(F33:F48,"Essence SP",H33:H48)</f>
        <v>0</v>
      </c>
      <c r="H56" s="434">
        <f t="shared" si="0"/>
        <v>0</v>
      </c>
    </row>
    <row r="57" spans="1:9" ht="15.75" customHeight="1">
      <c r="A57" s="10"/>
      <c r="B57" s="10"/>
      <c r="D57" s="701" t="s">
        <v>145</v>
      </c>
      <c r="E57" s="702"/>
      <c r="F57" s="433">
        <f>SUMIF(F19:F29,"Gaz",H19:H29)</f>
        <v>0</v>
      </c>
      <c r="G57" s="426">
        <f>SUMIF(F33:F48,"Gaz",H33:H48)</f>
        <v>0</v>
      </c>
      <c r="H57" s="434">
        <f t="shared" si="0"/>
        <v>0</v>
      </c>
    </row>
    <row r="58" spans="1:9" ht="15.75" customHeight="1">
      <c r="A58" s="10"/>
      <c r="B58" s="10"/>
      <c r="D58" s="701" t="s">
        <v>475</v>
      </c>
      <c r="E58" s="702"/>
      <c r="F58" s="433">
        <f>SUMIF(F19:F29,"Hydrogène",H19:H29)</f>
        <v>0</v>
      </c>
      <c r="G58" s="426">
        <f>SUMIF(F33:F48,"Hydrogène",H33:H48)</f>
        <v>0</v>
      </c>
      <c r="H58" s="434">
        <f t="shared" si="0"/>
        <v>0</v>
      </c>
    </row>
    <row r="59" spans="1:9" ht="15.75" customHeight="1">
      <c r="A59" s="10"/>
      <c r="B59" s="10"/>
      <c r="D59" s="701" t="s">
        <v>480</v>
      </c>
      <c r="E59" s="702"/>
      <c r="F59" s="435" t="s">
        <v>183</v>
      </c>
      <c r="G59" s="436" t="s">
        <v>183</v>
      </c>
      <c r="H59" s="437" t="s">
        <v>183</v>
      </c>
    </row>
    <row r="60" spans="1:9" ht="7.5" customHeight="1">
      <c r="A60" s="10"/>
      <c r="B60" s="10"/>
      <c r="E60" s="10"/>
      <c r="F60" s="10"/>
      <c r="G60" s="10"/>
      <c r="H60" s="10"/>
    </row>
    <row r="61" spans="1:9" ht="15.75" customHeight="1">
      <c r="A61" s="10"/>
      <c r="B61" s="10"/>
      <c r="E61" s="10"/>
      <c r="F61" s="10"/>
      <c r="G61" s="78" t="s">
        <v>188</v>
      </c>
      <c r="H61" s="438">
        <f>SUM(H54:H59)</f>
        <v>10</v>
      </c>
    </row>
    <row r="62" spans="1:9" ht="15.75" customHeight="1">
      <c r="A62" s="10"/>
      <c r="B62" s="10"/>
      <c r="E62" s="10"/>
      <c r="F62" s="10"/>
      <c r="G62" s="10"/>
      <c r="H62" s="10"/>
    </row>
    <row r="63" spans="1:9" ht="15.75" customHeight="1">
      <c r="A63" s="10"/>
      <c r="B63" s="10"/>
      <c r="D63" s="593" t="s">
        <v>481</v>
      </c>
      <c r="E63" s="516"/>
      <c r="F63" s="516"/>
      <c r="G63" s="516"/>
      <c r="H63" s="517"/>
    </row>
    <row r="64" spans="1:9" ht="15.75" customHeight="1">
      <c r="A64" s="10"/>
      <c r="B64" s="10"/>
      <c r="E64" s="10"/>
      <c r="F64" s="10"/>
      <c r="G64" s="10"/>
      <c r="H64" s="10"/>
    </row>
    <row r="65" spans="1:8" ht="15.75" customHeight="1">
      <c r="A65" s="10"/>
      <c r="B65" s="10"/>
      <c r="E65" s="10"/>
      <c r="F65" s="78" t="s">
        <v>139</v>
      </c>
      <c r="G65" s="429" t="s">
        <v>148</v>
      </c>
      <c r="H65" s="416" t="s">
        <v>188</v>
      </c>
    </row>
    <row r="66" spans="1:8" ht="15.75" customHeight="1">
      <c r="A66" s="10"/>
      <c r="B66" s="10"/>
      <c r="D66" s="703" t="s">
        <v>482</v>
      </c>
      <c r="E66" s="519"/>
      <c r="F66" s="439">
        <f>COUNTIF(D19:D29,"Camion groupe")</f>
        <v>1</v>
      </c>
      <c r="G66" s="94">
        <f>COUNTIF(D33:D48,"Camion Groupe")</f>
        <v>0</v>
      </c>
      <c r="H66" s="95">
        <f t="shared" ref="H66:H69" si="1">SUM(F66,G66)</f>
        <v>1</v>
      </c>
    </row>
    <row r="67" spans="1:8" ht="15.75" customHeight="1">
      <c r="A67" s="10"/>
      <c r="B67" s="10"/>
      <c r="D67" s="703" t="s">
        <v>474</v>
      </c>
      <c r="E67" s="519"/>
      <c r="F67" s="440">
        <f>COUNTIF(D19:D29,"Groupe mobile")</f>
        <v>0</v>
      </c>
      <c r="G67" s="8">
        <f>COUNTIF(D33:D48,"Groupe mobile")</f>
        <v>0</v>
      </c>
      <c r="H67" s="97">
        <f t="shared" si="1"/>
        <v>0</v>
      </c>
    </row>
    <row r="68" spans="1:8" ht="15.75" customHeight="1">
      <c r="A68" s="10"/>
      <c r="B68" s="10"/>
      <c r="D68" s="703" t="s">
        <v>476</v>
      </c>
      <c r="E68" s="519"/>
      <c r="F68" s="440">
        <f>COUNTIF(D19:D29,"Petit groupe de chantier")</f>
        <v>0</v>
      </c>
      <c r="G68" s="8">
        <f>COUNTIF(D33:D48,"Petit groupe de chantier")</f>
        <v>0</v>
      </c>
      <c r="H68" s="97">
        <f t="shared" si="1"/>
        <v>0</v>
      </c>
    </row>
    <row r="69" spans="1:8" ht="15.75" customHeight="1">
      <c r="A69" s="10"/>
      <c r="B69" s="10"/>
      <c r="D69" s="703" t="s">
        <v>472</v>
      </c>
      <c r="E69" s="519"/>
      <c r="F69" s="441">
        <f>COUNTIF(D19:D29,"Générateur à batterie 10kWh")</f>
        <v>1</v>
      </c>
      <c r="G69" s="88">
        <f>COUNTIF(D33:D48,"Générateur à batterie 10kWh")</f>
        <v>1</v>
      </c>
      <c r="H69" s="99">
        <f t="shared" si="1"/>
        <v>2</v>
      </c>
    </row>
    <row r="70" spans="1:8" ht="7.5" customHeight="1">
      <c r="A70" s="10"/>
      <c r="B70" s="10"/>
      <c r="E70" s="10"/>
      <c r="F70" s="10"/>
      <c r="G70" s="10"/>
      <c r="H70" s="10"/>
    </row>
    <row r="71" spans="1:8" ht="15.75" customHeight="1">
      <c r="A71" s="10"/>
      <c r="B71" s="10"/>
      <c r="E71" s="216" t="s">
        <v>483</v>
      </c>
      <c r="F71" s="79">
        <f t="shared" ref="F71:H71" si="2">SUM(F66:F69)</f>
        <v>2</v>
      </c>
      <c r="G71" s="79">
        <f t="shared" si="2"/>
        <v>1</v>
      </c>
      <c r="H71" s="80">
        <f t="shared" si="2"/>
        <v>3</v>
      </c>
    </row>
    <row r="72" spans="1:8" ht="15.75" customHeight="1">
      <c r="A72" s="10"/>
      <c r="B72" s="10"/>
      <c r="C72" s="10"/>
      <c r="D72" s="10"/>
      <c r="E72" s="10"/>
      <c r="F72" s="10"/>
      <c r="G72" s="10"/>
      <c r="H72" s="10"/>
    </row>
    <row r="73" spans="1:8" ht="15.75" customHeight="1">
      <c r="A73" s="10"/>
      <c r="B73" s="10"/>
      <c r="C73" s="10"/>
      <c r="D73" s="10"/>
      <c r="E73" s="10"/>
      <c r="F73" s="10"/>
      <c r="G73" s="10"/>
      <c r="H73" s="10"/>
    </row>
    <row r="74" spans="1:8" ht="15.75" customHeight="1">
      <c r="A74" s="10"/>
      <c r="B74" s="10"/>
      <c r="C74" s="10"/>
      <c r="D74" s="10"/>
      <c r="E74" s="10"/>
      <c r="F74" s="10"/>
      <c r="G74" s="10"/>
      <c r="H74" s="10"/>
    </row>
    <row r="75" spans="1:8" ht="15.75" customHeight="1">
      <c r="A75" s="10"/>
      <c r="B75" s="10"/>
      <c r="C75" s="10"/>
      <c r="D75" s="10"/>
      <c r="E75" s="10"/>
      <c r="F75" s="10"/>
      <c r="G75" s="10"/>
      <c r="H75" s="10"/>
    </row>
    <row r="76" spans="1:8" ht="15.75" customHeight="1">
      <c r="A76" s="10"/>
      <c r="B76" s="10"/>
      <c r="C76" s="10"/>
      <c r="D76" s="10"/>
      <c r="E76" s="10"/>
      <c r="F76" s="10"/>
      <c r="G76" s="10"/>
      <c r="H76" s="10"/>
    </row>
    <row r="77" spans="1:8" ht="15.75" customHeight="1">
      <c r="A77" s="10"/>
      <c r="B77" s="10"/>
      <c r="C77" s="10"/>
      <c r="D77" s="10"/>
      <c r="E77" s="10"/>
      <c r="F77" s="10"/>
      <c r="G77" s="10"/>
      <c r="H77" s="10"/>
    </row>
    <row r="78" spans="1:8" ht="15.75" customHeight="1">
      <c r="A78" s="10"/>
      <c r="B78" s="10"/>
      <c r="C78" s="10"/>
      <c r="D78" s="10"/>
      <c r="E78" s="10"/>
      <c r="F78" s="10"/>
      <c r="G78" s="10"/>
      <c r="H78" s="10"/>
    </row>
    <row r="79" spans="1:8" ht="15.75" customHeight="1"/>
    <row r="80" spans="1:8"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D54:E54"/>
    <mergeCell ref="D55:E55"/>
    <mergeCell ref="D68:E68"/>
    <mergeCell ref="D69:E69"/>
    <mergeCell ref="D56:E56"/>
    <mergeCell ref="D57:E57"/>
    <mergeCell ref="D58:E58"/>
    <mergeCell ref="D59:E59"/>
    <mergeCell ref="D63:H63"/>
    <mergeCell ref="D66:E66"/>
    <mergeCell ref="D67:E67"/>
    <mergeCell ref="A2:H2"/>
    <mergeCell ref="C4:D5"/>
    <mergeCell ref="B17:H17"/>
    <mergeCell ref="B31:H31"/>
    <mergeCell ref="D51:H51"/>
  </mergeCells>
  <conditionalFormatting sqref="H45:H48 H33:H43 H19:H29">
    <cfRule type="expression" dxfId="0" priority="1">
      <formula>F19="Electrique"</formula>
    </cfRule>
  </conditionalFormatting>
  <hyperlinks>
    <hyperlink ref="D13" r:id="rId1" xr:uid="{00000000-0004-0000-0F00-000000000000}"/>
  </hyperlinks>
  <pageMargins left="0.7" right="0.7" top="0.75" bottom="0.75" header="0" footer="0"/>
  <pageSetup paperSize="9" orientation="portrait"/>
  <drawing r:id="rId2"/>
  <extLst>
    <ext xmlns:x14="http://schemas.microsoft.com/office/spreadsheetml/2009/9/main" uri="{CCE6A557-97BC-4b89-ADB6-D9C93CAAB3DF}">
      <x14:dataValidations xmlns:xm="http://schemas.microsoft.com/office/excel/2006/main" count="3">
        <x14:dataValidation type="list" allowBlank="1" showErrorMessage="1" xr:uid="{00000000-0002-0000-0F00-000000000000}">
          <x14:formula1>
            <xm:f>Données!$F$72:$F$77</xm:f>
          </x14:formula1>
          <xm:sqref>F19:F29 F33:F43 F45:F48</xm:sqref>
        </x14:dataValidation>
        <x14:dataValidation type="list" allowBlank="1" showErrorMessage="1" xr:uid="{00000000-0002-0000-0F00-000001000000}">
          <x14:formula1>
            <xm:f>Données!$D$37:$D$39</xm:f>
          </x14:formula1>
          <xm:sqref>A19:A29 A33:A48</xm:sqref>
        </x14:dataValidation>
        <x14:dataValidation type="list" allowBlank="1" showErrorMessage="1" xr:uid="{00000000-0002-0000-0F00-000002000000}">
          <x14:formula1>
            <xm:f>Données!$F$64:$F$67</xm:f>
          </x14:formula1>
          <xm:sqref>D19:D29 D66:D69 D33:D43 D45:D48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E1FF"/>
  </sheetPr>
  <dimension ref="A1:Z1000"/>
  <sheetViews>
    <sheetView zoomScale="93" workbookViewId="0">
      <selection activeCell="F29" sqref="F29"/>
    </sheetView>
  </sheetViews>
  <sheetFormatPr baseColWidth="10" defaultColWidth="11.125" defaultRowHeight="15" customHeight="1"/>
  <cols>
    <col min="1" max="1" width="8.5" customWidth="1"/>
    <col min="2" max="2" width="30.5" customWidth="1"/>
    <col min="3" max="3" width="20.5" customWidth="1"/>
    <col min="4" max="5" width="30.5" customWidth="1"/>
    <col min="6" max="10" width="20.5" customWidth="1"/>
    <col min="11" max="11" width="33.125" customWidth="1"/>
    <col min="12" max="26" width="11"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566" t="s">
        <v>484</v>
      </c>
      <c r="B2" s="516"/>
      <c r="C2" s="516"/>
      <c r="D2" s="516"/>
      <c r="E2" s="516"/>
      <c r="F2" s="516"/>
      <c r="G2" s="516"/>
      <c r="H2" s="516"/>
      <c r="I2" s="517"/>
      <c r="J2" s="442"/>
      <c r="K2" s="1"/>
      <c r="L2" s="1"/>
      <c r="M2" s="1"/>
      <c r="N2" s="1"/>
      <c r="O2" s="1"/>
      <c r="P2" s="1"/>
      <c r="Q2" s="1"/>
      <c r="R2" s="1"/>
      <c r="S2" s="1"/>
      <c r="T2" s="1"/>
      <c r="U2" s="1"/>
      <c r="V2" s="1"/>
      <c r="W2" s="1"/>
      <c r="X2" s="1"/>
      <c r="Y2" s="1"/>
      <c r="Z2" s="1"/>
    </row>
    <row r="3" spans="1:26" ht="15.75" customHeight="1">
      <c r="A3" s="6"/>
      <c r="B3" s="6"/>
      <c r="C3" s="6"/>
      <c r="D3" s="6"/>
      <c r="E3" s="6"/>
      <c r="F3" s="6"/>
      <c r="G3" s="6"/>
      <c r="H3" s="6"/>
      <c r="I3" s="6"/>
      <c r="J3" s="6"/>
      <c r="K3" s="6"/>
      <c r="L3" s="6"/>
      <c r="M3" s="6"/>
      <c r="N3" s="6"/>
      <c r="O3" s="6"/>
      <c r="P3" s="6"/>
      <c r="Q3" s="6"/>
      <c r="R3" s="6"/>
      <c r="S3" s="6"/>
      <c r="T3" s="6"/>
      <c r="U3" s="6"/>
      <c r="V3" s="6"/>
      <c r="W3" s="6"/>
      <c r="X3" s="6"/>
      <c r="Y3" s="6"/>
      <c r="Z3" s="6"/>
    </row>
    <row r="4" spans="1:26" ht="15" customHeight="1">
      <c r="A4" s="192"/>
      <c r="B4" s="3" t="s">
        <v>785</v>
      </c>
      <c r="C4" s="192"/>
      <c r="D4" s="192"/>
      <c r="E4" s="192"/>
      <c r="F4" s="192"/>
      <c r="G4" s="192"/>
      <c r="H4" s="192"/>
      <c r="I4" s="192"/>
      <c r="J4" s="192"/>
      <c r="K4" s="192"/>
      <c r="L4" s="192"/>
      <c r="M4" s="192"/>
      <c r="N4" s="192"/>
      <c r="O4" s="192"/>
      <c r="P4" s="192"/>
      <c r="Q4" s="192"/>
      <c r="R4" s="192"/>
      <c r="S4" s="192"/>
      <c r="T4" s="192"/>
      <c r="U4" s="192"/>
      <c r="V4" s="192"/>
      <c r="W4" s="192"/>
      <c r="X4" s="192"/>
      <c r="Y4" s="192"/>
      <c r="Z4" s="192"/>
    </row>
    <row r="5" spans="1:26" ht="15" customHeight="1">
      <c r="A5" s="12"/>
      <c r="B5" s="33" t="s">
        <v>111</v>
      </c>
      <c r="C5" s="12"/>
      <c r="D5" s="12"/>
      <c r="E5" s="12"/>
      <c r="F5" s="12"/>
      <c r="G5" s="12"/>
      <c r="H5" s="12"/>
      <c r="I5" s="12"/>
      <c r="J5" s="12"/>
      <c r="K5" s="12"/>
      <c r="L5" s="12"/>
      <c r="M5" s="12"/>
      <c r="N5" s="12"/>
      <c r="O5" s="12"/>
      <c r="P5" s="12"/>
      <c r="Q5" s="12"/>
      <c r="R5" s="12"/>
      <c r="S5" s="12"/>
      <c r="T5" s="12"/>
      <c r="U5" s="12"/>
      <c r="V5" s="12"/>
      <c r="W5" s="12"/>
      <c r="X5" s="12"/>
      <c r="Y5" s="12"/>
      <c r="Z5" s="12"/>
    </row>
    <row r="6" spans="1:26" ht="15" customHeight="1">
      <c r="A6" s="12"/>
      <c r="B6" s="34" t="s">
        <v>112</v>
      </c>
      <c r="C6" s="12"/>
      <c r="D6" s="12"/>
      <c r="E6" s="12"/>
      <c r="F6" s="12"/>
      <c r="G6" s="12"/>
      <c r="H6" s="12"/>
      <c r="I6" s="12"/>
      <c r="J6" s="12"/>
      <c r="K6" s="12"/>
      <c r="L6" s="12"/>
      <c r="M6" s="12"/>
      <c r="N6" s="12"/>
      <c r="O6" s="12"/>
      <c r="P6" s="12"/>
      <c r="Q6" s="12"/>
      <c r="R6" s="12"/>
      <c r="S6" s="12"/>
      <c r="T6" s="12"/>
      <c r="U6" s="12"/>
      <c r="V6" s="12"/>
      <c r="W6" s="12"/>
      <c r="X6" s="12"/>
      <c r="Y6" s="12"/>
      <c r="Z6" s="12"/>
    </row>
    <row r="7" spans="1:26" ht="15" customHeight="1">
      <c r="A7" s="12"/>
      <c r="B7" s="3" t="s">
        <v>166</v>
      </c>
      <c r="C7" s="12"/>
      <c r="D7" s="12"/>
      <c r="E7" s="12"/>
      <c r="F7" s="12"/>
      <c r="G7" s="12"/>
      <c r="H7" s="12"/>
      <c r="I7" s="12"/>
      <c r="J7" s="12"/>
      <c r="K7" s="12"/>
      <c r="L7" s="12"/>
      <c r="M7" s="12"/>
      <c r="N7" s="12"/>
      <c r="O7" s="12"/>
      <c r="P7" s="12"/>
      <c r="Q7" s="12"/>
      <c r="R7" s="12"/>
      <c r="S7" s="12"/>
      <c r="T7" s="12"/>
      <c r="U7" s="12"/>
      <c r="V7" s="12"/>
      <c r="W7" s="12"/>
      <c r="X7" s="12"/>
      <c r="Y7" s="12"/>
      <c r="Z7" s="12"/>
    </row>
    <row r="8" spans="1:26" ht="15.75" customHeight="1">
      <c r="A8" s="10"/>
      <c r="B8" s="10"/>
      <c r="C8" s="10"/>
      <c r="D8" s="10"/>
      <c r="E8" s="10"/>
      <c r="F8" s="414"/>
      <c r="G8" s="6"/>
      <c r="H8" s="6"/>
      <c r="I8" s="6"/>
      <c r="J8" s="6"/>
      <c r="K8" s="157"/>
      <c r="L8" s="1"/>
      <c r="M8" s="1"/>
      <c r="N8" s="1"/>
      <c r="O8" s="1"/>
      <c r="P8" s="1"/>
      <c r="Q8" s="1"/>
      <c r="R8" s="1"/>
      <c r="S8" s="1"/>
      <c r="T8" s="1"/>
      <c r="U8" s="1"/>
      <c r="V8" s="1"/>
      <c r="W8" s="1"/>
      <c r="X8" s="1"/>
      <c r="Y8" s="1"/>
      <c r="Z8" s="1"/>
    </row>
    <row r="9" spans="1:26" ht="15.75" customHeight="1">
      <c r="A9" s="704" t="s">
        <v>485</v>
      </c>
      <c r="B9" s="516"/>
      <c r="C9" s="516"/>
      <c r="D9" s="516"/>
      <c r="E9" s="516"/>
      <c r="F9" s="516"/>
      <c r="G9" s="516"/>
      <c r="H9" s="516"/>
      <c r="I9" s="517"/>
      <c r="J9" s="443"/>
      <c r="K9" s="444"/>
      <c r="L9" s="1"/>
      <c r="M9" s="1"/>
      <c r="N9" s="1"/>
      <c r="O9" s="1"/>
      <c r="P9" s="1"/>
      <c r="Q9" s="1"/>
      <c r="R9" s="1"/>
      <c r="S9" s="1"/>
      <c r="T9" s="1"/>
      <c r="U9" s="1"/>
      <c r="V9" s="1"/>
      <c r="W9" s="1"/>
      <c r="X9" s="1"/>
      <c r="Y9" s="1"/>
      <c r="Z9" s="1"/>
    </row>
    <row r="10" spans="1:26" ht="15.75" customHeight="1">
      <c r="A10" s="10"/>
      <c r="B10" s="10"/>
      <c r="C10" s="10"/>
      <c r="D10" s="10"/>
      <c r="E10" s="10"/>
      <c r="F10" s="414"/>
      <c r="G10" s="6"/>
      <c r="H10" s="6"/>
      <c r="I10" s="6"/>
      <c r="J10" s="6"/>
      <c r="K10" s="157"/>
      <c r="L10" s="1"/>
      <c r="M10" s="1"/>
      <c r="N10" s="1"/>
      <c r="O10" s="1"/>
      <c r="P10" s="1"/>
      <c r="Q10" s="1"/>
      <c r="R10" s="1"/>
      <c r="S10" s="1"/>
      <c r="T10" s="1"/>
      <c r="U10" s="1"/>
      <c r="V10" s="1"/>
      <c r="W10" s="1"/>
      <c r="X10" s="1"/>
      <c r="Y10" s="1"/>
      <c r="Z10" s="1"/>
    </row>
    <row r="11" spans="1:26" ht="60" customHeight="1">
      <c r="A11" s="61" t="s">
        <v>114</v>
      </c>
      <c r="B11" s="63" t="s">
        <v>486</v>
      </c>
      <c r="C11" s="62" t="s">
        <v>444</v>
      </c>
      <c r="D11" s="705" t="s">
        <v>261</v>
      </c>
      <c r="E11" s="519"/>
      <c r="F11" s="63" t="s">
        <v>487</v>
      </c>
      <c r="G11" s="63" t="s">
        <v>488</v>
      </c>
      <c r="H11" s="63" t="s">
        <v>489</v>
      </c>
      <c r="I11" s="62" t="s">
        <v>490</v>
      </c>
      <c r="J11" s="35"/>
      <c r="K11" s="1"/>
      <c r="L11" s="1"/>
      <c r="M11" s="1"/>
      <c r="N11" s="1"/>
      <c r="O11" s="4"/>
      <c r="P11" s="1"/>
      <c r="Q11" s="1"/>
      <c r="R11" s="1"/>
      <c r="S11" s="1"/>
      <c r="T11" s="1"/>
      <c r="U11" s="1"/>
      <c r="V11" s="1"/>
      <c r="W11" s="1"/>
      <c r="X11" s="1"/>
      <c r="Y11" s="1"/>
      <c r="Z11" s="1"/>
    </row>
    <row r="12" spans="1:26" ht="15.75" customHeight="1">
      <c r="A12" s="75" t="s">
        <v>136</v>
      </c>
      <c r="B12" s="222"/>
      <c r="C12" s="222"/>
      <c r="D12" s="676"/>
      <c r="E12" s="519"/>
      <c r="F12" s="222"/>
      <c r="G12" s="138" t="s">
        <v>491</v>
      </c>
      <c r="H12" s="138" t="s">
        <v>492</v>
      </c>
      <c r="I12" s="105">
        <v>15</v>
      </c>
      <c r="J12" s="4"/>
      <c r="K12" s="1"/>
      <c r="L12" s="1"/>
      <c r="M12" s="1"/>
      <c r="N12" s="1"/>
      <c r="O12" s="4"/>
      <c r="P12" s="1"/>
      <c r="Q12" s="1"/>
      <c r="R12" s="1"/>
      <c r="S12" s="1"/>
      <c r="T12" s="1"/>
      <c r="U12" s="1"/>
      <c r="V12" s="1"/>
      <c r="W12" s="1"/>
      <c r="X12" s="1"/>
      <c r="Y12" s="1"/>
      <c r="Z12" s="1"/>
    </row>
    <row r="13" spans="1:26" ht="15.75" customHeight="1">
      <c r="A13" s="75"/>
      <c r="B13" s="222"/>
      <c r="C13" s="222"/>
      <c r="D13" s="676"/>
      <c r="E13" s="519"/>
      <c r="F13" s="222"/>
      <c r="G13" s="138"/>
      <c r="H13" s="138"/>
      <c r="I13" s="105"/>
      <c r="J13" s="4"/>
      <c r="K13" s="1"/>
      <c r="L13" s="1"/>
      <c r="M13" s="1"/>
      <c r="N13" s="1"/>
      <c r="O13" s="4"/>
      <c r="P13" s="1"/>
      <c r="Q13" s="1"/>
      <c r="R13" s="1"/>
      <c r="S13" s="1"/>
      <c r="T13" s="1"/>
      <c r="U13" s="1"/>
      <c r="V13" s="1"/>
      <c r="W13" s="1"/>
      <c r="X13" s="1"/>
      <c r="Y13" s="1"/>
      <c r="Z13" s="1"/>
    </row>
    <row r="14" spans="1:26" ht="15.75" customHeight="1">
      <c r="A14" s="75"/>
      <c r="B14" s="222"/>
      <c r="C14" s="222"/>
      <c r="D14" s="676"/>
      <c r="E14" s="519"/>
      <c r="F14" s="222"/>
      <c r="G14" s="138"/>
      <c r="H14" s="138"/>
      <c r="I14" s="105"/>
      <c r="J14" s="4"/>
      <c r="K14" s="1"/>
      <c r="L14" s="1"/>
      <c r="M14" s="1"/>
      <c r="N14" s="1"/>
      <c r="O14" s="4"/>
      <c r="P14" s="1"/>
      <c r="Q14" s="1"/>
      <c r="R14" s="1"/>
      <c r="S14" s="1"/>
      <c r="T14" s="1"/>
      <c r="U14" s="1"/>
      <c r="V14" s="1"/>
      <c r="W14" s="1"/>
      <c r="X14" s="1"/>
      <c r="Y14" s="1"/>
      <c r="Z14" s="1"/>
    </row>
    <row r="15" spans="1:26" ht="15.75" customHeight="1">
      <c r="A15" s="75"/>
      <c r="B15" s="222"/>
      <c r="C15" s="222"/>
      <c r="D15" s="676"/>
      <c r="E15" s="519"/>
      <c r="F15" s="222"/>
      <c r="G15" s="138"/>
      <c r="H15" s="138"/>
      <c r="I15" s="105"/>
      <c r="J15" s="4"/>
      <c r="K15" s="1"/>
      <c r="L15" s="1"/>
      <c r="M15" s="1"/>
      <c r="N15" s="1"/>
      <c r="O15" s="4"/>
      <c r="P15" s="1"/>
      <c r="Q15" s="1"/>
      <c r="R15" s="1"/>
      <c r="S15" s="1"/>
      <c r="T15" s="1"/>
      <c r="U15" s="1"/>
      <c r="V15" s="1"/>
      <c r="W15" s="1"/>
      <c r="X15" s="1"/>
      <c r="Y15" s="1"/>
      <c r="Z15" s="1"/>
    </row>
    <row r="16" spans="1:26" ht="15.75" customHeight="1">
      <c r="A16" s="75"/>
      <c r="B16" s="222"/>
      <c r="C16" s="222"/>
      <c r="D16" s="676"/>
      <c r="E16" s="519"/>
      <c r="F16" s="222"/>
      <c r="G16" s="138"/>
      <c r="H16" s="138"/>
      <c r="I16" s="105"/>
      <c r="J16" s="4"/>
      <c r="K16" s="1"/>
      <c r="L16" s="1"/>
      <c r="M16" s="1"/>
      <c r="N16" s="1"/>
      <c r="O16" s="4"/>
      <c r="P16" s="1"/>
      <c r="Q16" s="1"/>
      <c r="R16" s="1"/>
      <c r="S16" s="1"/>
      <c r="T16" s="1"/>
      <c r="U16" s="1"/>
      <c r="V16" s="1"/>
      <c r="W16" s="1"/>
      <c r="X16" s="1"/>
      <c r="Y16" s="1"/>
      <c r="Z16" s="1"/>
    </row>
    <row r="17" spans="1:26" ht="15.75" customHeight="1">
      <c r="A17" s="75"/>
      <c r="B17" s="222"/>
      <c r="C17" s="222"/>
      <c r="D17" s="676"/>
      <c r="E17" s="519"/>
      <c r="F17" s="222"/>
      <c r="G17" s="138"/>
      <c r="H17" s="138"/>
      <c r="I17" s="105"/>
      <c r="J17" s="4"/>
      <c r="K17" s="1"/>
      <c r="L17" s="6"/>
      <c r="M17" s="6"/>
      <c r="N17" s="6"/>
      <c r="O17" s="6"/>
      <c r="P17" s="6"/>
      <c r="Q17" s="6"/>
      <c r="R17" s="6"/>
      <c r="S17" s="1"/>
      <c r="T17" s="1"/>
      <c r="U17" s="1"/>
      <c r="V17" s="1"/>
      <c r="W17" s="1"/>
      <c r="X17" s="1"/>
      <c r="Y17" s="1"/>
      <c r="Z17" s="1"/>
    </row>
    <row r="18" spans="1:26" ht="15.75" customHeight="1">
      <c r="A18" s="75"/>
      <c r="B18" s="222"/>
      <c r="C18" s="222"/>
      <c r="D18" s="676"/>
      <c r="E18" s="519"/>
      <c r="F18" s="222"/>
      <c r="G18" s="138"/>
      <c r="H18" s="138"/>
      <c r="I18" s="105"/>
      <c r="J18" s="4"/>
      <c r="K18" s="1"/>
      <c r="L18" s="1"/>
      <c r="M18" s="1"/>
      <c r="N18" s="1"/>
      <c r="O18" s="4"/>
      <c r="P18" s="1"/>
      <c r="Q18" s="1"/>
      <c r="R18" s="1"/>
      <c r="S18" s="1"/>
      <c r="T18" s="1"/>
      <c r="U18" s="1"/>
      <c r="V18" s="1"/>
      <c r="W18" s="1"/>
      <c r="X18" s="1"/>
      <c r="Y18" s="1"/>
      <c r="Z18" s="1"/>
    </row>
    <row r="19" spans="1:26" ht="15.75" customHeight="1">
      <c r="A19" s="1"/>
      <c r="B19" s="1"/>
      <c r="C19" s="1"/>
      <c r="D19" s="1"/>
      <c r="E19" s="1"/>
      <c r="F19" s="1"/>
      <c r="G19" s="1"/>
      <c r="H19" s="4"/>
      <c r="I19" s="1"/>
      <c r="J19" s="1"/>
      <c r="K19" s="1"/>
      <c r="L19" s="1"/>
      <c r="M19" s="1"/>
      <c r="N19" s="1"/>
      <c r="O19" s="4"/>
      <c r="P19" s="1"/>
      <c r="Q19" s="1"/>
      <c r="R19" s="1"/>
      <c r="S19" s="1"/>
      <c r="T19" s="1"/>
      <c r="U19" s="1"/>
      <c r="V19" s="1"/>
      <c r="W19" s="1"/>
      <c r="X19" s="1"/>
      <c r="Y19" s="1"/>
      <c r="Z19" s="1"/>
    </row>
    <row r="20" spans="1:26" ht="15.75" customHeight="1">
      <c r="A20" s="1"/>
      <c r="B20" s="1"/>
      <c r="C20" s="1"/>
      <c r="D20" s="1"/>
      <c r="E20" s="1"/>
      <c r="F20" s="1"/>
      <c r="G20" s="1"/>
      <c r="H20" s="445" t="s">
        <v>496</v>
      </c>
      <c r="I20" s="446">
        <f>SUMIF(H12:H18,"LTO",I12:I18)</f>
        <v>15</v>
      </c>
      <c r="J20" s="447"/>
      <c r="K20" s="1"/>
      <c r="L20" s="1"/>
      <c r="M20" s="1"/>
      <c r="N20" s="1"/>
      <c r="O20" s="4"/>
      <c r="P20" s="1"/>
      <c r="Q20" s="1"/>
      <c r="R20" s="1"/>
      <c r="S20" s="1"/>
      <c r="T20" s="1"/>
      <c r="U20" s="1"/>
      <c r="V20" s="1"/>
      <c r="W20" s="1"/>
      <c r="X20" s="1"/>
      <c r="Y20" s="1"/>
      <c r="Z20" s="1"/>
    </row>
    <row r="21" spans="1:26" ht="15.75" customHeight="1">
      <c r="A21" s="1"/>
      <c r="B21" s="1"/>
      <c r="C21" s="1"/>
      <c r="D21" s="1"/>
      <c r="E21" s="1"/>
      <c r="F21" s="1"/>
      <c r="G21" s="1"/>
      <c r="H21" s="445" t="s">
        <v>497</v>
      </c>
      <c r="I21" s="446">
        <f>SUMIF(H12:H18,"HDD",I12:I18)</f>
        <v>0</v>
      </c>
      <c r="J21" s="447"/>
      <c r="K21" s="1"/>
      <c r="L21" s="1"/>
      <c r="M21" s="1"/>
      <c r="N21" s="1"/>
      <c r="O21" s="4"/>
      <c r="P21" s="1"/>
      <c r="Q21" s="1"/>
      <c r="R21" s="1"/>
      <c r="S21" s="1"/>
      <c r="T21" s="1"/>
      <c r="U21" s="1"/>
      <c r="V21" s="1"/>
      <c r="W21" s="1"/>
      <c r="X21" s="1"/>
      <c r="Y21" s="1"/>
      <c r="Z21" s="1"/>
    </row>
    <row r="22" spans="1:26" ht="15.75" customHeight="1">
      <c r="A22" s="1"/>
      <c r="B22" s="1"/>
      <c r="C22" s="1"/>
      <c r="D22" s="1"/>
      <c r="E22" s="1"/>
      <c r="F22" s="1"/>
      <c r="G22" s="1"/>
      <c r="H22" s="445" t="s">
        <v>498</v>
      </c>
      <c r="I22" s="446">
        <f>SUMIF(H12:H18,"Cloud",I12:I18)</f>
        <v>0</v>
      </c>
      <c r="J22" s="447"/>
      <c r="K22" s="1"/>
      <c r="L22" s="1"/>
      <c r="M22" s="1"/>
      <c r="N22" s="1"/>
      <c r="O22" s="4"/>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448"/>
      <c r="J36" s="448"/>
      <c r="K36" s="1"/>
      <c r="L36" s="1"/>
      <c r="M36" s="1"/>
      <c r="N36" s="1"/>
      <c r="O36" s="4"/>
      <c r="P36" s="1"/>
      <c r="Q36" s="1"/>
      <c r="R36" s="1"/>
      <c r="S36" s="1"/>
      <c r="T36" s="1"/>
      <c r="U36" s="1"/>
      <c r="V36" s="1"/>
      <c r="W36" s="1"/>
      <c r="X36" s="1"/>
      <c r="Y36" s="1"/>
      <c r="Z36" s="1"/>
    </row>
    <row r="37" spans="1:26" ht="15.75" customHeight="1">
      <c r="A37" s="704" t="s">
        <v>47</v>
      </c>
      <c r="B37" s="516"/>
      <c r="C37" s="516"/>
      <c r="D37" s="516"/>
      <c r="E37" s="516"/>
      <c r="F37" s="516"/>
      <c r="G37" s="516"/>
      <c r="H37" s="516"/>
      <c r="I37" s="517"/>
      <c r="J37" s="449"/>
      <c r="K37" s="444"/>
      <c r="L37" s="1"/>
      <c r="M37" s="1"/>
      <c r="N37" s="1"/>
      <c r="O37" s="1"/>
      <c r="P37" s="1"/>
      <c r="Q37" s="1"/>
      <c r="R37" s="1"/>
      <c r="S37" s="1"/>
      <c r="T37" s="1"/>
      <c r="U37" s="1"/>
      <c r="V37" s="1"/>
      <c r="W37" s="1"/>
      <c r="X37" s="1"/>
      <c r="Y37" s="1"/>
      <c r="Z37" s="1"/>
    </row>
    <row r="38" spans="1:26" ht="15.75" customHeight="1">
      <c r="A38" s="10"/>
      <c r="B38" s="10"/>
      <c r="C38" s="10"/>
      <c r="D38" s="10"/>
      <c r="E38" s="10"/>
      <c r="F38" s="414"/>
      <c r="G38" s="6"/>
      <c r="H38" s="6"/>
      <c r="I38" s="6"/>
      <c r="J38" s="6"/>
      <c r="K38" s="157"/>
      <c r="L38" s="1"/>
      <c r="M38" s="1"/>
      <c r="N38" s="1"/>
      <c r="O38" s="1"/>
      <c r="P38" s="1"/>
      <c r="Q38" s="1"/>
      <c r="R38" s="1"/>
      <c r="S38" s="1"/>
      <c r="T38" s="1"/>
      <c r="U38" s="1"/>
      <c r="V38" s="1"/>
      <c r="W38" s="1"/>
      <c r="X38" s="1"/>
      <c r="Y38" s="1"/>
      <c r="Z38" s="1"/>
    </row>
    <row r="39" spans="1:26" ht="15.75" customHeight="1">
      <c r="A39" s="12"/>
      <c r="B39" s="3" t="s">
        <v>113</v>
      </c>
      <c r="C39" s="10"/>
      <c r="D39" s="10"/>
      <c r="E39" s="10"/>
      <c r="F39" s="414"/>
      <c r="G39" s="6"/>
      <c r="H39" s="6"/>
      <c r="I39" s="6"/>
      <c r="J39" s="6"/>
      <c r="K39" s="157"/>
      <c r="L39" s="1"/>
      <c r="M39" s="1"/>
      <c r="N39" s="1"/>
      <c r="O39" s="1"/>
      <c r="P39" s="1"/>
      <c r="Q39" s="1"/>
      <c r="R39" s="1"/>
      <c r="S39" s="1"/>
      <c r="T39" s="1"/>
      <c r="U39" s="1"/>
      <c r="V39" s="1"/>
      <c r="W39" s="1"/>
      <c r="X39" s="1"/>
      <c r="Y39" s="1"/>
      <c r="Z39" s="1"/>
    </row>
    <row r="40" spans="1:26" ht="15.75" customHeight="1">
      <c r="A40" s="10"/>
      <c r="B40" s="10"/>
      <c r="C40" s="10"/>
      <c r="D40" s="10"/>
      <c r="E40" s="10"/>
      <c r="F40" s="414"/>
      <c r="G40" s="6"/>
      <c r="H40" s="6"/>
      <c r="I40" s="6"/>
      <c r="J40" s="6"/>
      <c r="K40" s="157"/>
      <c r="L40" s="1"/>
      <c r="M40" s="1"/>
      <c r="N40" s="1"/>
      <c r="O40" s="1"/>
      <c r="P40" s="1"/>
      <c r="Q40" s="1"/>
      <c r="R40" s="1"/>
      <c r="S40" s="1"/>
      <c r="T40" s="1"/>
      <c r="U40" s="1"/>
      <c r="V40" s="1"/>
      <c r="W40" s="1"/>
      <c r="X40" s="1"/>
      <c r="Y40" s="1"/>
      <c r="Z40" s="1"/>
    </row>
    <row r="41" spans="1:26" ht="60" customHeight="1">
      <c r="A41" s="61" t="s">
        <v>114</v>
      </c>
      <c r="B41" s="62" t="s">
        <v>499</v>
      </c>
      <c r="C41" s="62" t="s">
        <v>444</v>
      </c>
      <c r="D41" s="62" t="s">
        <v>500</v>
      </c>
      <c r="E41" s="62" t="s">
        <v>501</v>
      </c>
      <c r="F41" s="62" t="s">
        <v>369</v>
      </c>
      <c r="G41" s="62" t="s">
        <v>502</v>
      </c>
      <c r="H41" s="62" t="s">
        <v>503</v>
      </c>
      <c r="I41" s="62" t="s">
        <v>504</v>
      </c>
      <c r="J41" s="62" t="s">
        <v>505</v>
      </c>
      <c r="K41" s="1"/>
      <c r="L41" s="1"/>
      <c r="M41" s="1"/>
      <c r="N41" s="1"/>
      <c r="O41" s="4"/>
      <c r="P41" s="1"/>
      <c r="Q41" s="1"/>
      <c r="R41" s="1"/>
      <c r="S41" s="1"/>
      <c r="T41" s="1"/>
      <c r="U41" s="1"/>
      <c r="V41" s="1"/>
      <c r="W41" s="1"/>
      <c r="X41" s="1"/>
      <c r="Y41" s="1"/>
      <c r="Z41" s="1"/>
    </row>
    <row r="42" spans="1:26" ht="15.75" customHeight="1">
      <c r="A42" s="75" t="s">
        <v>136</v>
      </c>
      <c r="B42" s="222"/>
      <c r="C42" s="222"/>
      <c r="D42" s="104" t="s">
        <v>506</v>
      </c>
      <c r="E42" s="276" t="s">
        <v>507</v>
      </c>
      <c r="F42" s="276" t="s">
        <v>508</v>
      </c>
      <c r="G42" s="450">
        <v>10</v>
      </c>
      <c r="H42" s="391">
        <v>1</v>
      </c>
      <c r="I42" s="451">
        <v>15</v>
      </c>
      <c r="J42" s="452">
        <v>15</v>
      </c>
      <c r="K42" s="1"/>
      <c r="L42" s="1"/>
      <c r="M42" s="1"/>
      <c r="N42" s="1"/>
      <c r="O42" s="1"/>
      <c r="P42" s="1"/>
      <c r="Q42" s="1"/>
      <c r="R42" s="1"/>
      <c r="S42" s="1"/>
      <c r="T42" s="1"/>
      <c r="U42" s="1"/>
      <c r="V42" s="1"/>
      <c r="W42" s="1"/>
      <c r="X42" s="1"/>
      <c r="Y42" s="1"/>
      <c r="Z42" s="1"/>
    </row>
    <row r="43" spans="1:26" ht="15.75" customHeight="1">
      <c r="A43" s="75" t="s">
        <v>146</v>
      </c>
      <c r="B43" s="222"/>
      <c r="C43" s="222"/>
      <c r="D43" s="104" t="s">
        <v>509</v>
      </c>
      <c r="E43" s="276" t="s">
        <v>510</v>
      </c>
      <c r="F43" s="276" t="s">
        <v>511</v>
      </c>
      <c r="G43" s="450"/>
      <c r="H43" s="391"/>
      <c r="I43" s="451">
        <v>10</v>
      </c>
      <c r="J43" s="452">
        <v>10</v>
      </c>
      <c r="K43" s="1"/>
      <c r="L43" s="1"/>
      <c r="M43" s="1"/>
      <c r="N43" s="1"/>
      <c r="O43" s="1"/>
      <c r="P43" s="1"/>
      <c r="Q43" s="1"/>
      <c r="R43" s="1"/>
      <c r="S43" s="1"/>
      <c r="T43" s="1"/>
      <c r="U43" s="1"/>
      <c r="V43" s="1"/>
      <c r="W43" s="1"/>
      <c r="X43" s="1"/>
      <c r="Y43" s="1"/>
      <c r="Z43" s="1"/>
    </row>
    <row r="44" spans="1:26" ht="15.75" customHeight="1">
      <c r="A44" s="75" t="s">
        <v>136</v>
      </c>
      <c r="B44" s="222"/>
      <c r="C44" s="222"/>
      <c r="D44" s="104" t="s">
        <v>512</v>
      </c>
      <c r="E44" s="276" t="s">
        <v>513</v>
      </c>
      <c r="F44" s="276" t="s">
        <v>514</v>
      </c>
      <c r="G44" s="450"/>
      <c r="H44" s="391"/>
      <c r="I44" s="451">
        <v>5</v>
      </c>
      <c r="J44" s="452">
        <v>5</v>
      </c>
      <c r="K44" s="1"/>
      <c r="L44" s="1"/>
      <c r="M44" s="1"/>
      <c r="N44" s="1"/>
      <c r="O44" s="1"/>
      <c r="P44" s="1"/>
      <c r="Q44" s="1"/>
      <c r="R44" s="1"/>
      <c r="S44" s="1"/>
      <c r="T44" s="1"/>
      <c r="U44" s="1"/>
      <c r="V44" s="1"/>
      <c r="W44" s="1"/>
      <c r="X44" s="1"/>
      <c r="Y44" s="1"/>
      <c r="Z44" s="1"/>
    </row>
    <row r="45" spans="1:26" ht="15.75" customHeight="1">
      <c r="A45" s="75" t="s">
        <v>136</v>
      </c>
      <c r="B45" s="222"/>
      <c r="C45" s="222"/>
      <c r="D45" s="104" t="s">
        <v>515</v>
      </c>
      <c r="E45" s="276" t="s">
        <v>516</v>
      </c>
      <c r="F45" s="276" t="s">
        <v>514</v>
      </c>
      <c r="G45" s="450"/>
      <c r="H45" s="391"/>
      <c r="I45" s="451">
        <v>6</v>
      </c>
      <c r="J45" s="452">
        <v>6</v>
      </c>
      <c r="K45" s="1"/>
      <c r="L45" s="1"/>
      <c r="M45" s="1"/>
      <c r="N45" s="1"/>
      <c r="O45" s="1"/>
      <c r="P45" s="1"/>
      <c r="Q45" s="1"/>
      <c r="R45" s="1"/>
      <c r="S45" s="1"/>
      <c r="T45" s="1"/>
      <c r="U45" s="1"/>
      <c r="V45" s="1"/>
      <c r="W45" s="1"/>
      <c r="X45" s="1"/>
      <c r="Y45" s="1"/>
      <c r="Z45" s="1"/>
    </row>
    <row r="46" spans="1:26" ht="15.75" customHeight="1">
      <c r="A46" s="75" t="s">
        <v>136</v>
      </c>
      <c r="B46" s="222"/>
      <c r="C46" s="222"/>
      <c r="D46" s="104" t="s">
        <v>517</v>
      </c>
      <c r="E46" s="276" t="s">
        <v>138</v>
      </c>
      <c r="F46" s="276" t="s">
        <v>508</v>
      </c>
      <c r="G46" s="450"/>
      <c r="H46" s="391"/>
      <c r="I46" s="451">
        <v>24</v>
      </c>
      <c r="J46" s="452">
        <v>24</v>
      </c>
      <c r="K46" s="1"/>
      <c r="L46" s="1"/>
      <c r="M46" s="1"/>
      <c r="N46" s="1"/>
      <c r="O46" s="1"/>
      <c r="P46" s="1"/>
      <c r="Q46" s="1"/>
      <c r="R46" s="1"/>
      <c r="S46" s="1"/>
      <c r="T46" s="1"/>
      <c r="U46" s="1"/>
      <c r="V46" s="1"/>
      <c r="W46" s="1"/>
      <c r="X46" s="1"/>
      <c r="Y46" s="1"/>
      <c r="Z46" s="1"/>
    </row>
    <row r="47" spans="1:26" ht="15.75" customHeight="1">
      <c r="A47" s="75" t="s">
        <v>136</v>
      </c>
      <c r="B47" s="222"/>
      <c r="C47" s="222"/>
      <c r="D47" s="104" t="s">
        <v>506</v>
      </c>
      <c r="E47" s="276"/>
      <c r="F47" s="276"/>
      <c r="G47" s="450">
        <v>5</v>
      </c>
      <c r="H47" s="391"/>
      <c r="I47" s="451">
        <v>3</v>
      </c>
      <c r="J47" s="452">
        <v>3</v>
      </c>
      <c r="K47" s="1"/>
      <c r="L47" s="1"/>
      <c r="M47" s="1"/>
      <c r="N47" s="1"/>
      <c r="O47" s="1"/>
      <c r="P47" s="1"/>
      <c r="Q47" s="1"/>
      <c r="R47" s="1"/>
      <c r="S47" s="1"/>
      <c r="T47" s="1"/>
      <c r="U47" s="1"/>
      <c r="V47" s="1"/>
      <c r="W47" s="1"/>
      <c r="X47" s="1"/>
      <c r="Y47" s="1"/>
      <c r="Z47" s="1"/>
    </row>
    <row r="48" spans="1:26" ht="15.75" customHeight="1">
      <c r="A48" s="75" t="s">
        <v>136</v>
      </c>
      <c r="B48" s="222"/>
      <c r="C48" s="222"/>
      <c r="D48" s="104"/>
      <c r="E48" s="276"/>
      <c r="F48" s="276"/>
      <c r="G48" s="450"/>
      <c r="H48" s="391"/>
      <c r="I48" s="451"/>
      <c r="J48" s="452"/>
      <c r="K48" s="1"/>
      <c r="L48" s="1"/>
      <c r="M48" s="1"/>
      <c r="N48" s="1"/>
      <c r="O48" s="1"/>
      <c r="P48" s="1"/>
      <c r="Q48" s="1"/>
      <c r="R48" s="1"/>
      <c r="S48" s="1"/>
      <c r="T48" s="1"/>
      <c r="U48" s="1"/>
      <c r="V48" s="1"/>
      <c r="W48" s="1"/>
      <c r="X48" s="1"/>
      <c r="Y48" s="1"/>
      <c r="Z48" s="1"/>
    </row>
    <row r="49" spans="1:26" ht="15.75" customHeight="1">
      <c r="A49" s="75" t="s">
        <v>136</v>
      </c>
      <c r="B49" s="222"/>
      <c r="C49" s="222"/>
      <c r="D49" s="104"/>
      <c r="E49" s="276"/>
      <c r="F49" s="276"/>
      <c r="G49" s="450"/>
      <c r="H49" s="391">
        <v>5</v>
      </c>
      <c r="I49" s="451"/>
      <c r="J49" s="452"/>
      <c r="K49" s="1"/>
      <c r="L49" s="1"/>
      <c r="M49" s="1"/>
      <c r="N49" s="1"/>
      <c r="O49" s="1"/>
      <c r="P49" s="1"/>
      <c r="Q49" s="1"/>
      <c r="R49" s="1"/>
      <c r="S49" s="1"/>
      <c r="T49" s="1"/>
      <c r="U49" s="1"/>
      <c r="V49" s="1"/>
      <c r="W49" s="1"/>
      <c r="X49" s="1"/>
      <c r="Y49" s="1"/>
      <c r="Z49" s="1"/>
    </row>
    <row r="50" spans="1:26" ht="15.75" customHeight="1">
      <c r="A50" s="75" t="s">
        <v>136</v>
      </c>
      <c r="B50" s="222"/>
      <c r="C50" s="222"/>
      <c r="D50" s="104"/>
      <c r="E50" s="276"/>
      <c r="F50" s="276"/>
      <c r="G50" s="450"/>
      <c r="H50" s="391"/>
      <c r="I50" s="451"/>
      <c r="J50" s="452"/>
      <c r="K50" s="1"/>
      <c r="L50" s="1"/>
      <c r="M50" s="1"/>
      <c r="N50" s="1"/>
      <c r="O50" s="1"/>
      <c r="P50" s="1"/>
      <c r="Q50" s="1"/>
      <c r="R50" s="1"/>
      <c r="S50" s="1"/>
      <c r="T50" s="1"/>
      <c r="U50" s="1"/>
      <c r="V50" s="1"/>
      <c r="W50" s="1"/>
      <c r="X50" s="1"/>
      <c r="Y50" s="1"/>
      <c r="Z50" s="1"/>
    </row>
    <row r="51" spans="1:26" ht="15.75" customHeight="1">
      <c r="A51" s="75" t="s">
        <v>136</v>
      </c>
      <c r="B51" s="222"/>
      <c r="C51" s="222"/>
      <c r="D51" s="104"/>
      <c r="E51" s="276"/>
      <c r="F51" s="276"/>
      <c r="G51" s="450"/>
      <c r="H51" s="391"/>
      <c r="I51" s="451"/>
      <c r="J51" s="452"/>
      <c r="K51" s="1"/>
      <c r="L51" s="1"/>
      <c r="M51" s="1"/>
      <c r="N51" s="1"/>
      <c r="O51" s="1"/>
      <c r="P51" s="1"/>
      <c r="Q51" s="1"/>
      <c r="R51" s="1"/>
      <c r="S51" s="1"/>
      <c r="T51" s="1"/>
      <c r="U51" s="1"/>
      <c r="V51" s="1"/>
      <c r="W51" s="1"/>
      <c r="X51" s="1"/>
      <c r="Y51" s="1"/>
      <c r="Z51" s="1"/>
    </row>
    <row r="52" spans="1:26" ht="15.75" customHeight="1">
      <c r="A52" s="75" t="s">
        <v>136</v>
      </c>
      <c r="B52" s="222"/>
      <c r="C52" s="222"/>
      <c r="D52" s="104"/>
      <c r="E52" s="276"/>
      <c r="F52" s="276"/>
      <c r="G52" s="450"/>
      <c r="H52" s="391"/>
      <c r="I52" s="451"/>
      <c r="J52" s="452"/>
      <c r="K52" s="1"/>
      <c r="L52" s="1"/>
      <c r="M52" s="1"/>
      <c r="N52" s="1"/>
      <c r="O52" s="1"/>
      <c r="P52" s="1"/>
      <c r="Q52" s="1"/>
      <c r="R52" s="1"/>
      <c r="S52" s="1"/>
      <c r="T52" s="1"/>
      <c r="U52" s="1"/>
      <c r="V52" s="1"/>
      <c r="W52" s="1"/>
      <c r="X52" s="1"/>
      <c r="Y52" s="1"/>
      <c r="Z52" s="1"/>
    </row>
    <row r="53" spans="1:26" ht="15.75" customHeight="1">
      <c r="A53" s="75" t="s">
        <v>136</v>
      </c>
      <c r="B53" s="222"/>
      <c r="C53" s="222"/>
      <c r="D53" s="104"/>
      <c r="E53" s="276"/>
      <c r="F53" s="276"/>
      <c r="G53" s="450"/>
      <c r="H53" s="391"/>
      <c r="I53" s="451"/>
      <c r="J53" s="452"/>
      <c r="K53" s="1"/>
      <c r="L53" s="1"/>
      <c r="M53" s="1"/>
      <c r="N53" s="1"/>
      <c r="O53" s="1"/>
      <c r="P53" s="1"/>
      <c r="Q53" s="1"/>
      <c r="R53" s="1"/>
      <c r="S53" s="1"/>
      <c r="T53" s="1"/>
      <c r="U53" s="1"/>
      <c r="V53" s="1"/>
      <c r="W53" s="1"/>
      <c r="X53" s="1"/>
      <c r="Y53" s="1"/>
      <c r="Z53" s="1"/>
    </row>
    <row r="54" spans="1:26" ht="15.75" customHeight="1">
      <c r="A54" s="75" t="s">
        <v>136</v>
      </c>
      <c r="B54" s="222"/>
      <c r="C54" s="222"/>
      <c r="D54" s="104"/>
      <c r="E54" s="276"/>
      <c r="F54" s="276"/>
      <c r="G54" s="450"/>
      <c r="H54" s="391"/>
      <c r="I54" s="451"/>
      <c r="J54" s="452"/>
      <c r="K54" s="1"/>
      <c r="L54" s="1"/>
      <c r="M54" s="1"/>
      <c r="N54" s="1"/>
      <c r="O54" s="1"/>
      <c r="P54" s="1"/>
      <c r="Q54" s="1"/>
      <c r="R54" s="1"/>
      <c r="S54" s="1"/>
      <c r="T54" s="1"/>
      <c r="U54" s="1"/>
      <c r="V54" s="1"/>
      <c r="W54" s="1"/>
      <c r="X54" s="1"/>
      <c r="Y54" s="1"/>
      <c r="Z54" s="1"/>
    </row>
    <row r="55" spans="1:26" ht="15.75" customHeight="1">
      <c r="A55" s="75" t="s">
        <v>136</v>
      </c>
      <c r="B55" s="222"/>
      <c r="C55" s="222"/>
      <c r="D55" s="104"/>
      <c r="E55" s="276"/>
      <c r="F55" s="276"/>
      <c r="G55" s="450"/>
      <c r="H55" s="391"/>
      <c r="I55" s="451"/>
      <c r="J55" s="452"/>
      <c r="K55" s="1"/>
      <c r="L55" s="1"/>
      <c r="M55" s="1"/>
      <c r="N55" s="1"/>
      <c r="O55" s="1"/>
      <c r="P55" s="1"/>
      <c r="Q55" s="1"/>
      <c r="R55" s="1"/>
      <c r="S55" s="1"/>
      <c r="T55" s="1"/>
      <c r="U55" s="1"/>
      <c r="V55" s="1"/>
      <c r="W55" s="1"/>
      <c r="X55" s="1"/>
      <c r="Y55" s="1"/>
      <c r="Z55" s="1"/>
    </row>
    <row r="56" spans="1:26" ht="15.75" customHeight="1">
      <c r="A56" s="75" t="s">
        <v>136</v>
      </c>
      <c r="B56" s="222"/>
      <c r="C56" s="222"/>
      <c r="D56" s="104"/>
      <c r="E56" s="276"/>
      <c r="F56" s="276"/>
      <c r="G56" s="450"/>
      <c r="H56" s="391"/>
      <c r="I56" s="451"/>
      <c r="J56" s="452"/>
      <c r="K56" s="1"/>
      <c r="L56" s="1"/>
      <c r="M56" s="1"/>
      <c r="N56" s="1"/>
      <c r="O56" s="1"/>
      <c r="P56" s="1"/>
      <c r="Q56" s="1"/>
      <c r="R56" s="1"/>
      <c r="S56" s="1"/>
      <c r="T56" s="1"/>
      <c r="U56" s="1"/>
      <c r="V56" s="1"/>
      <c r="W56" s="1"/>
      <c r="X56" s="1"/>
      <c r="Y56" s="1"/>
      <c r="Z56" s="1"/>
    </row>
    <row r="57" spans="1:26" ht="15.75" customHeight="1">
      <c r="A57" s="75" t="s">
        <v>136</v>
      </c>
      <c r="B57" s="222"/>
      <c r="C57" s="222"/>
      <c r="D57" s="104"/>
      <c r="E57" s="276"/>
      <c r="F57" s="276"/>
      <c r="G57" s="450"/>
      <c r="H57" s="391"/>
      <c r="I57" s="451"/>
      <c r="J57" s="452"/>
      <c r="K57" s="1"/>
      <c r="L57" s="1"/>
      <c r="M57" s="1"/>
      <c r="N57" s="1"/>
      <c r="O57" s="1"/>
      <c r="P57" s="1"/>
      <c r="Q57" s="1"/>
      <c r="R57" s="1"/>
      <c r="S57" s="1"/>
      <c r="T57" s="1"/>
      <c r="U57" s="1"/>
      <c r="V57" s="1"/>
      <c r="W57" s="1"/>
      <c r="X57" s="1"/>
      <c r="Y57" s="1"/>
      <c r="Z57" s="1"/>
    </row>
    <row r="58" spans="1:26" ht="15.75" customHeight="1">
      <c r="A58" s="75" t="s">
        <v>136</v>
      </c>
      <c r="B58" s="222"/>
      <c r="C58" s="222"/>
      <c r="D58" s="104"/>
      <c r="E58" s="276"/>
      <c r="F58" s="276"/>
      <c r="G58" s="450"/>
      <c r="H58" s="391"/>
      <c r="I58" s="451"/>
      <c r="J58" s="452"/>
      <c r="K58" s="1"/>
      <c r="L58" s="1"/>
      <c r="M58" s="1"/>
      <c r="N58" s="1"/>
      <c r="O58" s="1"/>
      <c r="P58" s="1"/>
      <c r="Q58" s="1"/>
      <c r="R58" s="1"/>
      <c r="S58" s="1"/>
      <c r="T58" s="1"/>
      <c r="U58" s="1"/>
      <c r="V58" s="1"/>
      <c r="W58" s="1"/>
      <c r="X58" s="1"/>
      <c r="Y58" s="1"/>
      <c r="Z58" s="1"/>
    </row>
    <row r="59" spans="1:26" ht="15.75" customHeight="1">
      <c r="A59" s="75" t="s">
        <v>136</v>
      </c>
      <c r="B59" s="222"/>
      <c r="C59" s="222"/>
      <c r="D59" s="104"/>
      <c r="E59" s="276"/>
      <c r="F59" s="276"/>
      <c r="G59" s="450"/>
      <c r="H59" s="391"/>
      <c r="I59" s="451"/>
      <c r="J59" s="452"/>
      <c r="K59" s="1"/>
      <c r="L59" s="1"/>
      <c r="M59" s="1"/>
      <c r="N59" s="1"/>
      <c r="O59" s="1"/>
      <c r="P59" s="1"/>
      <c r="Q59" s="1"/>
      <c r="R59" s="1"/>
      <c r="S59" s="1"/>
      <c r="T59" s="1"/>
      <c r="U59" s="1"/>
      <c r="V59" s="1"/>
      <c r="W59" s="1"/>
      <c r="X59" s="1"/>
      <c r="Y59" s="1"/>
      <c r="Z59" s="1"/>
    </row>
    <row r="60" spans="1:26" ht="15.75" customHeight="1">
      <c r="A60" s="75" t="s">
        <v>136</v>
      </c>
      <c r="B60" s="222"/>
      <c r="C60" s="222"/>
      <c r="D60" s="104"/>
      <c r="E60" s="276"/>
      <c r="F60" s="276"/>
      <c r="G60" s="450"/>
      <c r="H60" s="391"/>
      <c r="I60" s="451"/>
      <c r="J60" s="452"/>
      <c r="K60" s="1"/>
      <c r="L60" s="1"/>
      <c r="M60" s="1"/>
      <c r="N60" s="1"/>
      <c r="O60" s="1"/>
      <c r="P60" s="1"/>
      <c r="Q60" s="1"/>
      <c r="R60" s="1"/>
      <c r="S60" s="1"/>
      <c r="T60" s="1"/>
      <c r="U60" s="1"/>
      <c r="V60" s="1"/>
      <c r="W60" s="1"/>
      <c r="X60" s="1"/>
      <c r="Y60" s="1"/>
      <c r="Z60" s="1"/>
    </row>
    <row r="61" spans="1:26" ht="15.75" customHeight="1">
      <c r="A61" s="75" t="s">
        <v>136</v>
      </c>
      <c r="B61" s="222"/>
      <c r="C61" s="222"/>
      <c r="D61" s="104"/>
      <c r="E61" s="276"/>
      <c r="F61" s="276"/>
      <c r="G61" s="450"/>
      <c r="H61" s="391"/>
      <c r="I61" s="451"/>
      <c r="J61" s="452"/>
      <c r="K61" s="1"/>
      <c r="L61" s="1"/>
      <c r="M61" s="1"/>
      <c r="N61" s="1"/>
      <c r="O61" s="1"/>
      <c r="P61" s="1"/>
      <c r="Q61" s="1"/>
      <c r="R61" s="1"/>
      <c r="S61" s="1"/>
      <c r="T61" s="1"/>
      <c r="U61" s="1"/>
      <c r="V61" s="1"/>
      <c r="W61" s="1"/>
      <c r="X61" s="1"/>
      <c r="Y61" s="1"/>
      <c r="Z61" s="1"/>
    </row>
    <row r="62" spans="1:26" ht="15.75" customHeight="1">
      <c r="A62" s="75" t="s">
        <v>136</v>
      </c>
      <c r="B62" s="222"/>
      <c r="C62" s="222"/>
      <c r="D62" s="104"/>
      <c r="E62" s="276"/>
      <c r="F62" s="276"/>
      <c r="G62" s="450"/>
      <c r="H62" s="391"/>
      <c r="I62" s="451"/>
      <c r="J62" s="452"/>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4"/>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4"/>
      <c r="I64" s="1"/>
      <c r="J64" s="1"/>
      <c r="K64" s="1"/>
      <c r="L64" s="1"/>
      <c r="M64" s="1"/>
      <c r="N64" s="1"/>
      <c r="O64" s="1"/>
      <c r="P64" s="1"/>
      <c r="Q64" s="1"/>
      <c r="R64" s="1"/>
      <c r="S64" s="1"/>
      <c r="T64" s="1"/>
      <c r="U64" s="1"/>
      <c r="V64" s="1"/>
      <c r="W64" s="1"/>
      <c r="X64" s="1"/>
      <c r="Y64" s="1"/>
      <c r="Z64" s="1"/>
    </row>
    <row r="65" spans="1:26" ht="15.75" customHeight="1">
      <c r="A65" s="1"/>
      <c r="B65" s="1"/>
      <c r="C65" s="1"/>
      <c r="D65" s="1"/>
      <c r="E65" s="113"/>
      <c r="F65" s="1"/>
      <c r="G65" s="706" t="s">
        <v>518</v>
      </c>
      <c r="H65" s="519"/>
      <c r="I65" s="453">
        <f>SUMIF(D42:D62,"Montage vidéo",I42:I62)</f>
        <v>18</v>
      </c>
      <c r="J65" s="454">
        <f>SUMIF(D42:D62,"Montage vidéo",J42:J62)</f>
        <v>18</v>
      </c>
      <c r="K65" s="1"/>
      <c r="L65" s="1"/>
      <c r="M65" s="1"/>
      <c r="N65" s="1"/>
      <c r="O65" s="1"/>
      <c r="P65" s="1"/>
      <c r="Q65" s="1"/>
      <c r="R65" s="1"/>
      <c r="S65" s="1"/>
      <c r="T65" s="1"/>
      <c r="U65" s="1"/>
      <c r="V65" s="1"/>
      <c r="W65" s="1"/>
      <c r="X65" s="1"/>
      <c r="Y65" s="1"/>
      <c r="Z65" s="1"/>
    </row>
    <row r="66" spans="1:26" ht="15.75" customHeight="1">
      <c r="A66" s="1"/>
      <c r="B66" s="1"/>
      <c r="C66" s="1"/>
      <c r="D66" s="1"/>
      <c r="E66" s="1"/>
      <c r="F66" s="1"/>
      <c r="G66" s="706" t="s">
        <v>519</v>
      </c>
      <c r="H66" s="519"/>
      <c r="I66" s="453">
        <f>SUMIF(D42:D62,"Montage et mixage son",I42:I62)</f>
        <v>10</v>
      </c>
      <c r="J66" s="454">
        <f>SUMIF(D42:D62,"Montage et mixage son",J42:J62)</f>
        <v>10</v>
      </c>
      <c r="K66" s="1"/>
      <c r="L66" s="1"/>
      <c r="M66" s="1"/>
      <c r="N66" s="1"/>
      <c r="O66" s="1"/>
      <c r="P66" s="1"/>
      <c r="Q66" s="1"/>
      <c r="R66" s="1"/>
      <c r="S66" s="1"/>
      <c r="T66" s="1"/>
      <c r="U66" s="1"/>
      <c r="V66" s="1"/>
      <c r="W66" s="1"/>
      <c r="X66" s="1"/>
      <c r="Y66" s="1"/>
      <c r="Z66" s="1"/>
    </row>
    <row r="67" spans="1:26" ht="15.75" customHeight="1">
      <c r="A67" s="1"/>
      <c r="B67" s="1"/>
      <c r="C67" s="1"/>
      <c r="D67" s="1"/>
      <c r="E67" s="1"/>
      <c r="F67" s="1"/>
      <c r="G67" s="706" t="s">
        <v>520</v>
      </c>
      <c r="H67" s="519"/>
      <c r="I67" s="453">
        <f>SUMIF(D42:D62,"VFX et infographie",I42:I62)</f>
        <v>5</v>
      </c>
      <c r="J67" s="454">
        <f>SUMIF(D42:D62,"VFX et infographie",J42:J62)</f>
        <v>5</v>
      </c>
      <c r="K67" s="1"/>
      <c r="L67" s="1"/>
      <c r="M67" s="1"/>
      <c r="N67" s="1"/>
      <c r="O67" s="1"/>
      <c r="P67" s="1"/>
      <c r="Q67" s="1"/>
      <c r="R67" s="1"/>
      <c r="S67" s="1"/>
      <c r="T67" s="1"/>
      <c r="U67" s="1"/>
      <c r="V67" s="1"/>
      <c r="W67" s="1"/>
      <c r="X67" s="1"/>
      <c r="Y67" s="1"/>
      <c r="Z67" s="1"/>
    </row>
    <row r="68" spans="1:26" ht="15.75" customHeight="1">
      <c r="A68" s="1"/>
      <c r="B68" s="1"/>
      <c r="C68" s="1"/>
      <c r="D68" s="1"/>
      <c r="E68" s="1"/>
      <c r="F68" s="1"/>
      <c r="G68" s="706" t="s">
        <v>521</v>
      </c>
      <c r="H68" s="519"/>
      <c r="I68" s="453">
        <f>SUMIF(D42:D62,"Etalonnage",I42:I62)</f>
        <v>6</v>
      </c>
      <c r="J68" s="454">
        <f>SUMIF(D42:D62,"Etalonnage",J42:J62)</f>
        <v>6</v>
      </c>
      <c r="K68" s="1"/>
      <c r="L68" s="1"/>
      <c r="M68" s="1"/>
      <c r="N68" s="1"/>
      <c r="O68" s="1"/>
      <c r="P68" s="1"/>
      <c r="Q68" s="1"/>
      <c r="R68" s="1"/>
      <c r="S68" s="1"/>
      <c r="T68" s="1"/>
      <c r="U68" s="1"/>
      <c r="V68" s="1"/>
      <c r="W68" s="1"/>
      <c r="X68" s="1"/>
      <c r="Y68" s="1"/>
      <c r="Z68" s="1"/>
    </row>
    <row r="69" spans="1:26" ht="15.75" customHeight="1">
      <c r="A69" s="1"/>
      <c r="B69" s="1"/>
      <c r="C69" s="1"/>
      <c r="D69" s="1"/>
      <c r="E69" s="1"/>
      <c r="F69" s="1"/>
      <c r="G69" s="706" t="s">
        <v>522</v>
      </c>
      <c r="H69" s="519"/>
      <c r="I69" s="453">
        <f>SUMIF(D42:D62,"Laboratoire",I42:I62)</f>
        <v>24</v>
      </c>
      <c r="J69" s="454">
        <f>SUMIF(D42:D62,"Laboratoire",J42:J62)</f>
        <v>24</v>
      </c>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6">
    <mergeCell ref="D14:E14"/>
    <mergeCell ref="D15:E15"/>
    <mergeCell ref="G68:H68"/>
    <mergeCell ref="G69:H69"/>
    <mergeCell ref="D16:E16"/>
    <mergeCell ref="D17:E17"/>
    <mergeCell ref="D18:E18"/>
    <mergeCell ref="A37:I37"/>
    <mergeCell ref="G65:H65"/>
    <mergeCell ref="G66:H66"/>
    <mergeCell ref="G67:H67"/>
    <mergeCell ref="A2:I2"/>
    <mergeCell ref="A9:I9"/>
    <mergeCell ref="D11:E11"/>
    <mergeCell ref="D12:E12"/>
    <mergeCell ref="D13:E13"/>
  </mergeCell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xr:uid="{00000000-0002-0000-1000-000000000000}">
          <x14:formula1>
            <xm:f>Données!$B$5:$B$218</xm:f>
          </x14:formula1>
          <xm:sqref>E42:E62</xm:sqref>
        </x14:dataValidation>
        <x14:dataValidation type="list" allowBlank="1" showErrorMessage="1" xr:uid="{00000000-0002-0000-1000-000001000000}">
          <x14:formula1>
            <xm:f>Données!$F$41:$F$43</xm:f>
          </x14:formula1>
          <xm:sqref>F42:F62</xm:sqref>
        </x14:dataValidation>
        <x14:dataValidation type="list" allowBlank="1" showErrorMessage="1" xr:uid="{00000000-0002-0000-1000-000002000000}">
          <x14:formula1>
            <xm:f>Données!$F$21:$F$23</xm:f>
          </x14:formula1>
          <xm:sqref>H12:H18</xm:sqref>
        </x14:dataValidation>
        <x14:dataValidation type="list" allowBlank="1" showErrorMessage="1" xr:uid="{00000000-0002-0000-1000-000003000000}">
          <x14:formula1>
            <xm:f>Données!$D$37:$D$39</xm:f>
          </x14:formula1>
          <xm:sqref>A12:A18 A42:A62</xm:sqref>
        </x14:dataValidation>
        <x14:dataValidation type="list" allowBlank="1" showErrorMessage="1" xr:uid="{00000000-0002-0000-1000-000004000000}">
          <x14:formula1>
            <xm:f>Données!$F$28:$F$29</xm:f>
          </x14:formula1>
          <xm:sqref>G12:G18</xm:sqref>
        </x14:dataValidation>
        <x14:dataValidation type="list" allowBlank="1" showErrorMessage="1" xr:uid="{00000000-0002-0000-1000-000005000000}">
          <x14:formula1>
            <xm:f>Données!$F$48:$F$52</xm:f>
          </x14:formula1>
          <xm:sqref>D42:D62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topLeftCell="B161" workbookViewId="0"/>
  </sheetViews>
  <sheetFormatPr baseColWidth="10" defaultColWidth="11.125" defaultRowHeight="15" customHeight="1"/>
  <cols>
    <col min="1" max="1" width="2.5" customWidth="1"/>
    <col min="2" max="2" width="37.5" customWidth="1"/>
    <col min="3" max="3" width="2.5" customWidth="1"/>
    <col min="4" max="4" width="34.625" customWidth="1"/>
    <col min="5" max="5" width="2.5" customWidth="1"/>
    <col min="6" max="6" width="33.5" customWidth="1"/>
    <col min="7" max="7" width="2.5" customWidth="1"/>
    <col min="8" max="8" width="34.625" customWidth="1"/>
    <col min="9" max="9" width="2.5" customWidth="1"/>
    <col min="10" max="10" width="30.625" customWidth="1"/>
    <col min="11" max="26" width="11" customWidth="1"/>
  </cols>
  <sheetData>
    <row r="1" spans="1:26" ht="15" customHeight="1">
      <c r="A1" s="1"/>
      <c r="B1" s="10"/>
      <c r="C1" s="1"/>
      <c r="D1" s="10"/>
      <c r="E1" s="1"/>
      <c r="F1" s="1"/>
      <c r="G1" s="1"/>
      <c r="H1" s="1"/>
      <c r="I1" s="1"/>
      <c r="J1" s="1"/>
      <c r="K1" s="1"/>
      <c r="L1" s="1"/>
      <c r="M1" s="1"/>
      <c r="N1" s="1"/>
      <c r="O1" s="1"/>
      <c r="P1" s="1"/>
      <c r="Q1" s="1"/>
      <c r="R1" s="1"/>
      <c r="S1" s="1"/>
      <c r="T1" s="1"/>
      <c r="U1" s="1"/>
      <c r="V1" s="1"/>
      <c r="W1" s="1"/>
      <c r="X1" s="1"/>
      <c r="Y1" s="1"/>
      <c r="Z1" s="1"/>
    </row>
    <row r="2" spans="1:26" ht="15.75" customHeight="1">
      <c r="A2" s="1"/>
      <c r="B2" s="455" t="s">
        <v>1</v>
      </c>
      <c r="C2" s="1"/>
      <c r="D2" s="1"/>
      <c r="E2" s="1"/>
      <c r="F2" s="1"/>
      <c r="G2" s="1"/>
      <c r="H2" s="1"/>
      <c r="I2" s="1"/>
      <c r="J2" s="1"/>
      <c r="K2" s="1"/>
      <c r="L2" s="1"/>
      <c r="M2" s="1"/>
      <c r="N2" s="1"/>
      <c r="O2" s="1"/>
      <c r="P2" s="1"/>
      <c r="Q2" s="1"/>
      <c r="R2" s="1"/>
      <c r="S2" s="1"/>
      <c r="T2" s="1"/>
      <c r="U2" s="1"/>
      <c r="V2" s="1"/>
      <c r="W2" s="1"/>
      <c r="X2" s="1"/>
      <c r="Y2" s="1"/>
      <c r="Z2" s="1"/>
    </row>
    <row r="3" spans="1:26" ht="15" customHeight="1">
      <c r="A3" s="1"/>
      <c r="B3" s="10"/>
      <c r="C3" s="1"/>
      <c r="D3" s="10"/>
      <c r="E3" s="1"/>
      <c r="F3" s="1"/>
      <c r="G3" s="1"/>
      <c r="H3" s="1"/>
      <c r="I3" s="1"/>
      <c r="J3" s="1"/>
      <c r="K3" s="1"/>
      <c r="L3" s="1"/>
      <c r="M3" s="1"/>
      <c r="N3" s="1"/>
      <c r="O3" s="1"/>
      <c r="P3" s="1"/>
      <c r="Q3" s="1"/>
      <c r="R3" s="1"/>
      <c r="S3" s="1"/>
      <c r="T3" s="1"/>
      <c r="U3" s="1"/>
      <c r="V3" s="1"/>
      <c r="W3" s="1"/>
      <c r="X3" s="1"/>
      <c r="Y3" s="1"/>
      <c r="Z3" s="1"/>
    </row>
    <row r="4" spans="1:26" ht="15" customHeight="1">
      <c r="A4" s="1"/>
      <c r="B4" s="456" t="s">
        <v>523</v>
      </c>
      <c r="C4" s="1"/>
      <c r="D4" s="456" t="s">
        <v>524</v>
      </c>
      <c r="E4" s="1"/>
      <c r="F4" s="457" t="s">
        <v>525</v>
      </c>
      <c r="G4" s="1"/>
      <c r="H4" s="457" t="s">
        <v>526</v>
      </c>
      <c r="I4" s="1"/>
      <c r="J4" s="1"/>
      <c r="K4" s="1"/>
      <c r="L4" s="1"/>
      <c r="M4" s="1"/>
      <c r="N4" s="1"/>
      <c r="O4" s="1"/>
      <c r="P4" s="1"/>
      <c r="Q4" s="1"/>
      <c r="R4" s="1"/>
      <c r="S4" s="1"/>
      <c r="T4" s="1"/>
      <c r="U4" s="1"/>
      <c r="V4" s="1"/>
      <c r="W4" s="1"/>
      <c r="X4" s="1"/>
      <c r="Y4" s="1"/>
      <c r="Z4" s="1"/>
    </row>
    <row r="5" spans="1:26" ht="15" customHeight="1">
      <c r="A5" s="1"/>
      <c r="B5" s="458" t="s">
        <v>527</v>
      </c>
      <c r="C5" s="1"/>
      <c r="D5" s="458" t="s">
        <v>137</v>
      </c>
      <c r="E5" s="1"/>
      <c r="F5" s="261" t="s">
        <v>140</v>
      </c>
      <c r="G5" s="1"/>
      <c r="H5" s="459" t="s">
        <v>186</v>
      </c>
      <c r="I5" s="1"/>
      <c r="J5" s="457" t="s">
        <v>528</v>
      </c>
      <c r="K5" s="1"/>
      <c r="L5" s="1"/>
      <c r="M5" s="1"/>
      <c r="N5" s="1"/>
      <c r="O5" s="1"/>
      <c r="P5" s="1"/>
      <c r="Q5" s="1"/>
      <c r="R5" s="1"/>
      <c r="S5" s="1"/>
      <c r="T5" s="1"/>
      <c r="U5" s="1"/>
      <c r="V5" s="1"/>
      <c r="W5" s="1"/>
      <c r="X5" s="1"/>
      <c r="Y5" s="1"/>
      <c r="Z5" s="1"/>
    </row>
    <row r="6" spans="1:26" ht="15" customHeight="1">
      <c r="A6" s="1"/>
      <c r="B6" s="415" t="s">
        <v>529</v>
      </c>
      <c r="C6" s="1"/>
      <c r="D6" s="415" t="s">
        <v>155</v>
      </c>
      <c r="E6" s="1"/>
      <c r="F6" s="222" t="s">
        <v>161</v>
      </c>
      <c r="G6" s="1"/>
      <c r="H6" s="460" t="s">
        <v>178</v>
      </c>
      <c r="I6" s="1"/>
      <c r="J6" s="461" t="s">
        <v>530</v>
      </c>
      <c r="K6" s="1"/>
      <c r="L6" s="1"/>
      <c r="M6" s="1"/>
      <c r="N6" s="1"/>
      <c r="O6" s="1"/>
      <c r="P6" s="1"/>
      <c r="Q6" s="1"/>
      <c r="R6" s="1"/>
      <c r="S6" s="1"/>
      <c r="T6" s="1"/>
      <c r="U6" s="1"/>
      <c r="V6" s="1"/>
      <c r="W6" s="1"/>
      <c r="X6" s="1"/>
      <c r="Y6" s="1"/>
      <c r="Z6" s="1"/>
    </row>
    <row r="7" spans="1:26" ht="15" customHeight="1">
      <c r="A7" s="1"/>
      <c r="B7" s="415" t="s">
        <v>531</v>
      </c>
      <c r="C7" s="1"/>
      <c r="D7" s="415" t="s">
        <v>153</v>
      </c>
      <c r="E7" s="1"/>
      <c r="F7" s="222" t="s">
        <v>154</v>
      </c>
      <c r="G7" s="1"/>
      <c r="H7" s="462" t="s">
        <v>177</v>
      </c>
      <c r="I7" s="1"/>
      <c r="J7" s="461" t="s">
        <v>532</v>
      </c>
      <c r="K7" s="1"/>
      <c r="L7" s="1"/>
      <c r="M7" s="1"/>
      <c r="N7" s="1"/>
      <c r="O7" s="1"/>
      <c r="P7" s="1"/>
      <c r="Q7" s="1"/>
      <c r="R7" s="1"/>
      <c r="S7" s="1"/>
      <c r="T7" s="1"/>
      <c r="U7" s="1"/>
      <c r="V7" s="1"/>
      <c r="W7" s="1"/>
      <c r="X7" s="1"/>
      <c r="Y7" s="1"/>
      <c r="Z7" s="1"/>
    </row>
    <row r="8" spans="1:26" ht="15" customHeight="1">
      <c r="A8" s="1"/>
      <c r="B8" s="415" t="s">
        <v>533</v>
      </c>
      <c r="C8" s="1"/>
      <c r="D8" s="415" t="s">
        <v>157</v>
      </c>
      <c r="E8" s="1"/>
      <c r="F8" s="10"/>
      <c r="G8" s="1"/>
      <c r="H8" s="462" t="s">
        <v>180</v>
      </c>
      <c r="I8" s="1"/>
      <c r="J8" s="461" t="s">
        <v>534</v>
      </c>
      <c r="K8" s="1"/>
      <c r="L8" s="1"/>
      <c r="M8" s="1"/>
      <c r="N8" s="1"/>
      <c r="O8" s="1"/>
      <c r="P8" s="1"/>
      <c r="Q8" s="1"/>
      <c r="R8" s="1"/>
      <c r="S8" s="1"/>
      <c r="T8" s="1"/>
      <c r="U8" s="1"/>
      <c r="V8" s="1"/>
      <c r="W8" s="1"/>
      <c r="X8" s="1"/>
      <c r="Y8" s="1"/>
      <c r="Z8" s="1"/>
    </row>
    <row r="9" spans="1:26" ht="15" customHeight="1">
      <c r="A9" s="1"/>
      <c r="B9" s="415" t="s">
        <v>535</v>
      </c>
      <c r="C9" s="1"/>
      <c r="D9" s="415" t="s">
        <v>158</v>
      </c>
      <c r="E9" s="1"/>
      <c r="F9" s="1"/>
      <c r="G9" s="1"/>
      <c r="H9" s="462" t="s">
        <v>193</v>
      </c>
      <c r="I9" s="1"/>
      <c r="J9" s="461" t="s">
        <v>536</v>
      </c>
      <c r="K9" s="1"/>
      <c r="L9" s="1"/>
      <c r="M9" s="1"/>
      <c r="N9" s="1"/>
      <c r="O9" s="1"/>
      <c r="P9" s="1"/>
      <c r="Q9" s="1"/>
      <c r="R9" s="1"/>
      <c r="S9" s="1"/>
      <c r="T9" s="1"/>
      <c r="U9" s="1"/>
      <c r="V9" s="1"/>
      <c r="W9" s="1"/>
      <c r="X9" s="1"/>
      <c r="Y9" s="1"/>
      <c r="Z9" s="1"/>
    </row>
    <row r="10" spans="1:26" ht="15" customHeight="1">
      <c r="A10" s="1"/>
      <c r="B10" s="415" t="s">
        <v>510</v>
      </c>
      <c r="C10" s="1"/>
      <c r="D10" s="415" t="s">
        <v>149</v>
      </c>
      <c r="E10" s="1"/>
      <c r="F10" s="1"/>
      <c r="G10" s="1"/>
      <c r="H10" s="461" t="s">
        <v>181</v>
      </c>
      <c r="I10" s="1"/>
      <c r="J10" s="461" t="s">
        <v>537</v>
      </c>
      <c r="K10" s="1"/>
      <c r="L10" s="1"/>
      <c r="M10" s="1"/>
      <c r="N10" s="1"/>
      <c r="O10" s="1"/>
      <c r="P10" s="1"/>
      <c r="Q10" s="1"/>
      <c r="R10" s="1"/>
      <c r="S10" s="1"/>
      <c r="T10" s="1"/>
      <c r="U10" s="1"/>
      <c r="V10" s="1"/>
      <c r="W10" s="1"/>
      <c r="X10" s="1"/>
      <c r="Y10" s="1"/>
      <c r="Z10" s="1"/>
    </row>
    <row r="11" spans="1:26" ht="15" customHeight="1">
      <c r="A11" s="1"/>
      <c r="B11" s="415" t="s">
        <v>538</v>
      </c>
      <c r="C11" s="1"/>
      <c r="D11" s="415" t="s">
        <v>159</v>
      </c>
      <c r="E11" s="1"/>
      <c r="F11" s="463" t="s">
        <v>539</v>
      </c>
      <c r="G11" s="1"/>
      <c r="H11" s="461" t="s">
        <v>194</v>
      </c>
      <c r="I11" s="1"/>
      <c r="J11" s="464" t="s">
        <v>540</v>
      </c>
      <c r="K11" s="1"/>
      <c r="L11" s="1"/>
      <c r="M11" s="1"/>
      <c r="N11" s="1"/>
      <c r="O11" s="1"/>
      <c r="P11" s="1"/>
      <c r="Q11" s="1"/>
      <c r="R11" s="1"/>
      <c r="S11" s="1"/>
      <c r="T11" s="1"/>
      <c r="U11" s="1"/>
      <c r="V11" s="1"/>
      <c r="W11" s="1"/>
      <c r="X11" s="1"/>
      <c r="Y11" s="1"/>
      <c r="Z11" s="1"/>
    </row>
    <row r="12" spans="1:26" ht="15" customHeight="1">
      <c r="A12" s="1"/>
      <c r="B12" s="415" t="s">
        <v>541</v>
      </c>
      <c r="C12" s="1"/>
      <c r="D12" s="415" t="s">
        <v>160</v>
      </c>
      <c r="E12" s="1"/>
      <c r="F12" s="465" t="s">
        <v>252</v>
      </c>
      <c r="G12" s="1"/>
      <c r="H12" s="461" t="s">
        <v>184</v>
      </c>
      <c r="I12" s="1"/>
      <c r="J12" s="1"/>
      <c r="K12" s="1"/>
      <c r="L12" s="1"/>
      <c r="M12" s="1"/>
      <c r="N12" s="1"/>
      <c r="O12" s="1"/>
      <c r="P12" s="1"/>
      <c r="Q12" s="1"/>
      <c r="R12" s="1"/>
      <c r="S12" s="1"/>
      <c r="T12" s="1"/>
      <c r="U12" s="1"/>
      <c r="V12" s="1"/>
      <c r="W12" s="1"/>
      <c r="X12" s="1"/>
      <c r="Y12" s="1"/>
      <c r="Z12" s="1"/>
    </row>
    <row r="13" spans="1:26" ht="15" customHeight="1">
      <c r="A13" s="1"/>
      <c r="B13" s="415" t="s">
        <v>542</v>
      </c>
      <c r="C13" s="1"/>
      <c r="D13" s="415" t="s">
        <v>162</v>
      </c>
      <c r="E13" s="1"/>
      <c r="F13" s="466" t="s">
        <v>256</v>
      </c>
      <c r="G13" s="1"/>
      <c r="H13" s="461" t="s">
        <v>179</v>
      </c>
      <c r="I13" s="1"/>
      <c r="J13" s="1"/>
      <c r="K13" s="1"/>
      <c r="L13" s="1"/>
      <c r="M13" s="1"/>
      <c r="N13" s="1"/>
      <c r="O13" s="1"/>
      <c r="P13" s="1"/>
      <c r="Q13" s="1"/>
      <c r="R13" s="1"/>
      <c r="S13" s="1"/>
      <c r="T13" s="1"/>
      <c r="U13" s="1"/>
      <c r="V13" s="1"/>
      <c r="W13" s="1"/>
      <c r="X13" s="1"/>
      <c r="Y13" s="1"/>
      <c r="Z13" s="1"/>
    </row>
    <row r="14" spans="1:26" ht="15" customHeight="1">
      <c r="A14" s="1"/>
      <c r="B14" s="415" t="s">
        <v>543</v>
      </c>
      <c r="C14" s="1"/>
      <c r="D14" s="10"/>
      <c r="E14" s="1"/>
      <c r="F14" s="466" t="s">
        <v>251</v>
      </c>
      <c r="G14" s="1"/>
      <c r="H14" s="461" t="s">
        <v>187</v>
      </c>
      <c r="I14" s="1"/>
      <c r="J14" s="187" t="s">
        <v>544</v>
      </c>
      <c r="K14" s="1"/>
      <c r="L14" s="1"/>
      <c r="M14" s="1"/>
      <c r="N14" s="1"/>
      <c r="O14" s="1"/>
      <c r="P14" s="1"/>
      <c r="Q14" s="1"/>
      <c r="R14" s="1"/>
      <c r="S14" s="1"/>
      <c r="T14" s="1"/>
      <c r="U14" s="1"/>
      <c r="V14" s="1"/>
      <c r="W14" s="1"/>
      <c r="X14" s="1"/>
      <c r="Y14" s="1"/>
      <c r="Z14" s="1"/>
    </row>
    <row r="15" spans="1:26" ht="15" customHeight="1">
      <c r="A15" s="1"/>
      <c r="B15" s="415" t="s">
        <v>545</v>
      </c>
      <c r="C15" s="1"/>
      <c r="D15" s="1"/>
      <c r="E15" s="1"/>
      <c r="F15" s="466" t="s">
        <v>253</v>
      </c>
      <c r="G15" s="1"/>
      <c r="H15" s="1"/>
      <c r="I15" s="1"/>
      <c r="J15" s="81" t="s">
        <v>339</v>
      </c>
      <c r="K15" s="1"/>
      <c r="L15" s="1"/>
      <c r="M15" s="1"/>
      <c r="N15" s="1"/>
      <c r="O15" s="1"/>
      <c r="P15" s="1"/>
      <c r="Q15" s="1"/>
      <c r="R15" s="1"/>
      <c r="S15" s="1"/>
      <c r="T15" s="1"/>
      <c r="U15" s="1"/>
      <c r="V15" s="1"/>
      <c r="W15" s="1"/>
      <c r="X15" s="1"/>
      <c r="Y15" s="1"/>
      <c r="Z15" s="1"/>
    </row>
    <row r="16" spans="1:26" ht="15" customHeight="1">
      <c r="A16" s="1"/>
      <c r="B16" s="415" t="s">
        <v>546</v>
      </c>
      <c r="C16" s="1"/>
      <c r="D16" s="1"/>
      <c r="E16" s="1"/>
      <c r="F16" s="466" t="s">
        <v>257</v>
      </c>
      <c r="G16" s="1"/>
      <c r="H16" s="1"/>
      <c r="I16" s="1"/>
      <c r="J16" s="8" t="s">
        <v>342</v>
      </c>
      <c r="K16" s="1"/>
      <c r="L16" s="1"/>
      <c r="M16" s="1"/>
      <c r="N16" s="1"/>
      <c r="O16" s="1"/>
      <c r="P16" s="1"/>
      <c r="Q16" s="1"/>
      <c r="R16" s="1"/>
      <c r="S16" s="1"/>
      <c r="T16" s="1"/>
      <c r="U16" s="1"/>
      <c r="V16" s="1"/>
      <c r="W16" s="1"/>
      <c r="X16" s="1"/>
      <c r="Y16" s="1"/>
      <c r="Z16" s="1"/>
    </row>
    <row r="17" spans="1:26" ht="15" customHeight="1">
      <c r="A17" s="1"/>
      <c r="B17" s="415" t="s">
        <v>547</v>
      </c>
      <c r="C17" s="1"/>
      <c r="D17" s="456" t="s">
        <v>548</v>
      </c>
      <c r="E17" s="1"/>
      <c r="F17" s="10"/>
      <c r="G17" s="1"/>
      <c r="H17" s="1"/>
      <c r="I17" s="1"/>
      <c r="J17" s="8" t="s">
        <v>344</v>
      </c>
      <c r="K17" s="1"/>
      <c r="L17" s="1"/>
      <c r="M17" s="1"/>
      <c r="N17" s="1"/>
      <c r="O17" s="1"/>
      <c r="P17" s="1"/>
      <c r="Q17" s="1"/>
      <c r="R17" s="1"/>
      <c r="S17" s="1"/>
      <c r="T17" s="1"/>
      <c r="U17" s="1"/>
      <c r="V17" s="1"/>
      <c r="W17" s="1"/>
      <c r="X17" s="1"/>
      <c r="Y17" s="1"/>
      <c r="Z17" s="1"/>
    </row>
    <row r="18" spans="1:26" ht="15" customHeight="1">
      <c r="A18" s="1"/>
      <c r="B18" s="415" t="s">
        <v>549</v>
      </c>
      <c r="C18" s="1"/>
      <c r="D18" s="458" t="s">
        <v>142</v>
      </c>
      <c r="E18" s="1"/>
      <c r="F18" s="1"/>
      <c r="G18" s="1"/>
      <c r="H18" s="1"/>
      <c r="I18" s="1"/>
      <c r="J18" s="8" t="s">
        <v>341</v>
      </c>
      <c r="K18" s="1"/>
      <c r="L18" s="1"/>
      <c r="M18" s="1"/>
      <c r="N18" s="1"/>
      <c r="O18" s="1"/>
      <c r="P18" s="1"/>
      <c r="Q18" s="1"/>
      <c r="R18" s="1"/>
      <c r="S18" s="1"/>
      <c r="T18" s="1"/>
      <c r="U18" s="1"/>
      <c r="V18" s="1"/>
      <c r="W18" s="1"/>
      <c r="X18" s="1"/>
      <c r="Y18" s="1"/>
      <c r="Z18" s="1"/>
    </row>
    <row r="19" spans="1:26" ht="15" customHeight="1">
      <c r="A19" s="1"/>
      <c r="B19" s="415" t="s">
        <v>550</v>
      </c>
      <c r="C19" s="1"/>
      <c r="D19" s="415" t="s">
        <v>144</v>
      </c>
      <c r="E19" s="1"/>
      <c r="F19" s="1"/>
      <c r="G19" s="1"/>
      <c r="H19" s="457" t="s">
        <v>551</v>
      </c>
      <c r="I19" s="1"/>
      <c r="J19" s="8" t="s">
        <v>343</v>
      </c>
      <c r="K19" s="1"/>
      <c r="L19" s="1"/>
      <c r="M19" s="1"/>
      <c r="N19" s="1"/>
      <c r="O19" s="1"/>
      <c r="P19" s="1"/>
      <c r="Q19" s="1"/>
      <c r="R19" s="1"/>
      <c r="S19" s="1"/>
      <c r="T19" s="1"/>
      <c r="U19" s="1"/>
      <c r="V19" s="1"/>
      <c r="W19" s="1"/>
      <c r="X19" s="1"/>
      <c r="Y19" s="1"/>
      <c r="Z19" s="1"/>
    </row>
    <row r="20" spans="1:26" ht="15" customHeight="1">
      <c r="A20" s="1"/>
      <c r="B20" s="415" t="s">
        <v>552</v>
      </c>
      <c r="C20" s="1"/>
      <c r="D20" s="415" t="s">
        <v>145</v>
      </c>
      <c r="E20" s="1"/>
      <c r="F20" s="463" t="s">
        <v>553</v>
      </c>
      <c r="G20" s="1"/>
      <c r="H20" s="467" t="s">
        <v>186</v>
      </c>
      <c r="I20" s="1"/>
      <c r="J20" s="8" t="s">
        <v>346</v>
      </c>
      <c r="K20" s="1"/>
      <c r="L20" s="1"/>
      <c r="M20" s="1"/>
      <c r="N20" s="1"/>
      <c r="O20" s="1"/>
      <c r="P20" s="1"/>
      <c r="Q20" s="1"/>
      <c r="R20" s="1"/>
      <c r="S20" s="1"/>
      <c r="T20" s="1"/>
      <c r="U20" s="1"/>
      <c r="V20" s="1"/>
      <c r="W20" s="1"/>
      <c r="X20" s="1"/>
      <c r="Y20" s="1"/>
      <c r="Z20" s="1"/>
    </row>
    <row r="21" spans="1:26" ht="15" customHeight="1">
      <c r="A21" s="1"/>
      <c r="B21" s="415" t="s">
        <v>554</v>
      </c>
      <c r="C21" s="1"/>
      <c r="D21" s="10"/>
      <c r="E21" s="1"/>
      <c r="F21" s="468" t="s">
        <v>492</v>
      </c>
      <c r="G21" s="1"/>
      <c r="H21" s="461" t="s">
        <v>187</v>
      </c>
      <c r="I21" s="1"/>
      <c r="J21" s="8" t="s">
        <v>347</v>
      </c>
      <c r="K21" s="1"/>
      <c r="L21" s="1"/>
      <c r="M21" s="1"/>
      <c r="N21" s="1"/>
      <c r="O21" s="1"/>
      <c r="P21" s="1"/>
      <c r="Q21" s="1"/>
      <c r="R21" s="1"/>
      <c r="S21" s="1"/>
      <c r="T21" s="1"/>
      <c r="U21" s="1"/>
      <c r="V21" s="1"/>
      <c r="W21" s="1"/>
      <c r="X21" s="1"/>
      <c r="Y21" s="1"/>
      <c r="Z21" s="1"/>
    </row>
    <row r="22" spans="1:26" ht="15" customHeight="1">
      <c r="A22" s="1"/>
      <c r="B22" s="415" t="s">
        <v>555</v>
      </c>
      <c r="C22" s="1"/>
      <c r="D22" s="1"/>
      <c r="E22" s="1"/>
      <c r="F22" s="469" t="s">
        <v>494</v>
      </c>
      <c r="G22" s="1"/>
      <c r="H22" s="461" t="s">
        <v>268</v>
      </c>
      <c r="I22" s="1"/>
      <c r="J22" s="8" t="s">
        <v>348</v>
      </c>
      <c r="K22" s="1"/>
      <c r="L22" s="1"/>
      <c r="M22" s="1"/>
      <c r="N22" s="1"/>
      <c r="O22" s="1"/>
      <c r="P22" s="1"/>
      <c r="Q22" s="1"/>
      <c r="R22" s="1"/>
      <c r="S22" s="1"/>
      <c r="T22" s="1"/>
      <c r="U22" s="1"/>
      <c r="V22" s="1"/>
      <c r="W22" s="1"/>
      <c r="X22" s="1"/>
      <c r="Y22" s="1"/>
      <c r="Z22" s="1"/>
    </row>
    <row r="23" spans="1:26" ht="15" customHeight="1">
      <c r="A23" s="1"/>
      <c r="B23" s="415" t="s">
        <v>507</v>
      </c>
      <c r="C23" s="1"/>
      <c r="D23" s="1"/>
      <c r="E23" s="1"/>
      <c r="F23" s="469" t="s">
        <v>495</v>
      </c>
      <c r="G23" s="1"/>
      <c r="H23" s="461" t="s">
        <v>277</v>
      </c>
      <c r="I23" s="1"/>
      <c r="J23" s="1"/>
      <c r="K23" s="1"/>
      <c r="L23" s="1"/>
      <c r="M23" s="1"/>
      <c r="N23" s="1"/>
      <c r="O23" s="1"/>
      <c r="P23" s="1"/>
      <c r="Q23" s="1"/>
      <c r="R23" s="1"/>
      <c r="S23" s="1"/>
      <c r="T23" s="1"/>
      <c r="U23" s="1"/>
      <c r="V23" s="1"/>
      <c r="W23" s="1"/>
      <c r="X23" s="1"/>
      <c r="Y23" s="1"/>
      <c r="Z23" s="1"/>
    </row>
    <row r="24" spans="1:26" ht="15" customHeight="1">
      <c r="A24" s="1"/>
      <c r="B24" s="415" t="s">
        <v>556</v>
      </c>
      <c r="C24" s="1"/>
      <c r="D24" s="456" t="s">
        <v>557</v>
      </c>
      <c r="E24" s="1"/>
      <c r="F24" s="10"/>
      <c r="G24" s="1"/>
      <c r="H24" s="461" t="s">
        <v>278</v>
      </c>
      <c r="I24" s="1"/>
      <c r="J24" s="1"/>
      <c r="K24" s="1"/>
      <c r="L24" s="1"/>
      <c r="M24" s="1"/>
      <c r="N24" s="1"/>
      <c r="O24" s="1"/>
      <c r="P24" s="1"/>
      <c r="Q24" s="1"/>
      <c r="R24" s="1"/>
      <c r="S24" s="1"/>
      <c r="T24" s="1"/>
      <c r="U24" s="1"/>
      <c r="V24" s="1"/>
      <c r="W24" s="1"/>
      <c r="X24" s="1"/>
      <c r="Y24" s="1"/>
      <c r="Z24" s="1"/>
    </row>
    <row r="25" spans="1:26" ht="15" customHeight="1">
      <c r="A25" s="1"/>
      <c r="B25" s="415" t="s">
        <v>558</v>
      </c>
      <c r="C25" s="1"/>
      <c r="D25" s="470" t="s">
        <v>87</v>
      </c>
      <c r="E25" s="1"/>
      <c r="F25" s="1"/>
      <c r="G25" s="1"/>
      <c r="H25" s="461" t="s">
        <v>270</v>
      </c>
      <c r="I25" s="1"/>
      <c r="J25" s="1"/>
      <c r="K25" s="1"/>
      <c r="L25" s="1"/>
      <c r="M25" s="1"/>
      <c r="N25" s="1"/>
      <c r="O25" s="1"/>
      <c r="P25" s="1"/>
      <c r="Q25" s="1"/>
      <c r="R25" s="1"/>
      <c r="S25" s="1"/>
      <c r="T25" s="1"/>
      <c r="U25" s="1"/>
      <c r="V25" s="1"/>
      <c r="W25" s="1"/>
      <c r="X25" s="1"/>
      <c r="Y25" s="1"/>
      <c r="Z25" s="1"/>
    </row>
    <row r="26" spans="1:26" ht="15" customHeight="1">
      <c r="A26" s="1"/>
      <c r="B26" s="415" t="s">
        <v>559</v>
      </c>
      <c r="C26" s="1"/>
      <c r="D26" s="464" t="s">
        <v>88</v>
      </c>
      <c r="E26" s="1"/>
      <c r="F26" s="1"/>
      <c r="G26" s="1"/>
      <c r="H26" s="461" t="s">
        <v>280</v>
      </c>
      <c r="I26" s="1"/>
      <c r="J26" s="1"/>
      <c r="K26" s="1"/>
      <c r="L26" s="1"/>
      <c r="M26" s="1"/>
      <c r="N26" s="1"/>
      <c r="O26" s="1"/>
      <c r="P26" s="1"/>
      <c r="Q26" s="1"/>
      <c r="R26" s="1"/>
      <c r="S26" s="1"/>
      <c r="T26" s="1"/>
      <c r="U26" s="1"/>
      <c r="V26" s="1"/>
      <c r="W26" s="1"/>
      <c r="X26" s="1"/>
      <c r="Y26" s="1"/>
      <c r="Z26" s="1"/>
    </row>
    <row r="27" spans="1:26" ht="15" customHeight="1">
      <c r="A27" s="1"/>
      <c r="B27" s="415" t="s">
        <v>560</v>
      </c>
      <c r="C27" s="1"/>
      <c r="D27" s="464" t="s">
        <v>89</v>
      </c>
      <c r="E27" s="1"/>
      <c r="F27" s="463" t="s">
        <v>561</v>
      </c>
      <c r="G27" s="1"/>
      <c r="H27" s="461" t="s">
        <v>281</v>
      </c>
      <c r="I27" s="1"/>
      <c r="J27" s="1"/>
      <c r="K27" s="1"/>
      <c r="L27" s="1"/>
      <c r="M27" s="1"/>
      <c r="N27" s="1"/>
      <c r="O27" s="1"/>
      <c r="P27" s="1"/>
      <c r="Q27" s="1"/>
      <c r="R27" s="1"/>
      <c r="S27" s="1"/>
      <c r="T27" s="1"/>
      <c r="U27" s="1"/>
      <c r="V27" s="1"/>
      <c r="W27" s="1"/>
      <c r="X27" s="1"/>
      <c r="Y27" s="1"/>
      <c r="Z27" s="1"/>
    </row>
    <row r="28" spans="1:26" ht="15" customHeight="1">
      <c r="A28" s="1"/>
      <c r="B28" s="415" t="s">
        <v>562</v>
      </c>
      <c r="C28" s="1"/>
      <c r="D28" s="464" t="s">
        <v>90</v>
      </c>
      <c r="E28" s="1"/>
      <c r="F28" s="471" t="s">
        <v>491</v>
      </c>
      <c r="G28" s="1"/>
      <c r="H28" s="461" t="s">
        <v>283</v>
      </c>
      <c r="I28" s="1"/>
      <c r="J28" s="1"/>
      <c r="K28" s="1"/>
      <c r="L28" s="1"/>
      <c r="M28" s="1"/>
      <c r="N28" s="1"/>
      <c r="O28" s="1"/>
      <c r="P28" s="1"/>
      <c r="Q28" s="1"/>
      <c r="R28" s="1"/>
      <c r="S28" s="1"/>
      <c r="T28" s="1"/>
      <c r="U28" s="1"/>
      <c r="V28" s="1"/>
      <c r="W28" s="1"/>
      <c r="X28" s="1"/>
      <c r="Y28" s="1"/>
      <c r="Z28" s="1"/>
    </row>
    <row r="29" spans="1:26" ht="15" customHeight="1">
      <c r="A29" s="1"/>
      <c r="B29" s="415" t="s">
        <v>563</v>
      </c>
      <c r="C29" s="1"/>
      <c r="D29" s="464" t="s">
        <v>91</v>
      </c>
      <c r="E29" s="1"/>
      <c r="F29" s="472" t="s">
        <v>493</v>
      </c>
      <c r="G29" s="1"/>
      <c r="H29" s="461" t="s">
        <v>284</v>
      </c>
      <c r="I29" s="1"/>
      <c r="J29" s="473" t="s">
        <v>564</v>
      </c>
      <c r="K29" s="1"/>
      <c r="L29" s="1"/>
      <c r="M29" s="1"/>
      <c r="N29" s="1"/>
      <c r="O29" s="1"/>
      <c r="P29" s="1"/>
      <c r="Q29" s="1"/>
      <c r="R29" s="1"/>
      <c r="S29" s="1"/>
      <c r="T29" s="1"/>
      <c r="U29" s="1"/>
      <c r="V29" s="1"/>
      <c r="W29" s="1"/>
      <c r="X29" s="1"/>
      <c r="Y29" s="1"/>
      <c r="Z29" s="1"/>
    </row>
    <row r="30" spans="1:26" ht="15" customHeight="1">
      <c r="A30" s="1"/>
      <c r="B30" s="415" t="s">
        <v>565</v>
      </c>
      <c r="C30" s="1"/>
      <c r="D30" s="464" t="s">
        <v>92</v>
      </c>
      <c r="E30" s="1"/>
      <c r="F30" s="10"/>
      <c r="G30" s="1"/>
      <c r="H30" s="461" t="s">
        <v>285</v>
      </c>
      <c r="I30" s="1"/>
      <c r="J30" s="474" t="s">
        <v>371</v>
      </c>
      <c r="K30" s="1"/>
      <c r="L30" s="1"/>
      <c r="M30" s="1"/>
      <c r="N30" s="1"/>
      <c r="O30" s="1"/>
      <c r="P30" s="1"/>
      <c r="Q30" s="1"/>
      <c r="R30" s="1"/>
      <c r="S30" s="1"/>
      <c r="T30" s="1"/>
      <c r="U30" s="1"/>
      <c r="V30" s="1"/>
      <c r="W30" s="1"/>
      <c r="X30" s="1"/>
      <c r="Y30" s="1"/>
      <c r="Z30" s="1"/>
    </row>
    <row r="31" spans="1:26" ht="15" customHeight="1">
      <c r="A31" s="1"/>
      <c r="B31" s="415" t="s">
        <v>566</v>
      </c>
      <c r="C31" s="1"/>
      <c r="D31" s="464" t="s">
        <v>93</v>
      </c>
      <c r="E31" s="1"/>
      <c r="F31" s="1"/>
      <c r="G31" s="1"/>
      <c r="H31" s="461" t="s">
        <v>271</v>
      </c>
      <c r="I31" s="1"/>
      <c r="J31" s="475" t="s">
        <v>373</v>
      </c>
      <c r="K31" s="1"/>
      <c r="L31" s="1"/>
      <c r="M31" s="1"/>
      <c r="N31" s="1"/>
      <c r="O31" s="1"/>
      <c r="P31" s="1"/>
      <c r="Q31" s="1"/>
      <c r="R31" s="1"/>
      <c r="S31" s="1"/>
      <c r="T31" s="1"/>
      <c r="U31" s="1"/>
      <c r="V31" s="1"/>
      <c r="W31" s="1"/>
      <c r="X31" s="1"/>
      <c r="Y31" s="1"/>
      <c r="Z31" s="1"/>
    </row>
    <row r="32" spans="1:26" ht="15" customHeight="1">
      <c r="A32" s="1"/>
      <c r="B32" s="415" t="s">
        <v>567</v>
      </c>
      <c r="C32" s="1"/>
      <c r="D32" s="10"/>
      <c r="E32" s="1"/>
      <c r="F32" s="1"/>
      <c r="G32" s="1"/>
      <c r="H32" s="476" t="s">
        <v>287</v>
      </c>
      <c r="I32" s="1"/>
      <c r="J32" s="475" t="s">
        <v>375</v>
      </c>
      <c r="K32" s="1"/>
      <c r="L32" s="1"/>
      <c r="M32" s="1"/>
      <c r="N32" s="1"/>
      <c r="O32" s="1"/>
      <c r="P32" s="1"/>
      <c r="Q32" s="1"/>
      <c r="R32" s="1"/>
      <c r="S32" s="1"/>
      <c r="T32" s="1"/>
      <c r="U32" s="1"/>
      <c r="V32" s="1"/>
      <c r="W32" s="1"/>
      <c r="X32" s="1"/>
      <c r="Y32" s="1"/>
      <c r="Z32" s="1"/>
    </row>
    <row r="33" spans="1:26" ht="15" customHeight="1">
      <c r="A33" s="1"/>
      <c r="B33" s="415" t="s">
        <v>568</v>
      </c>
      <c r="C33" s="1"/>
      <c r="D33" s="1"/>
      <c r="E33" s="1"/>
      <c r="F33" s="457" t="s">
        <v>569</v>
      </c>
      <c r="G33" s="1"/>
      <c r="H33" s="147"/>
      <c r="I33" s="1"/>
      <c r="J33" s="475" t="s">
        <v>377</v>
      </c>
      <c r="K33" s="1"/>
      <c r="L33" s="1"/>
      <c r="M33" s="1"/>
      <c r="N33" s="1"/>
      <c r="O33" s="1"/>
      <c r="P33" s="1"/>
      <c r="Q33" s="1"/>
      <c r="R33" s="1"/>
      <c r="S33" s="1"/>
      <c r="T33" s="1"/>
      <c r="U33" s="1"/>
      <c r="V33" s="1"/>
      <c r="W33" s="1"/>
      <c r="X33" s="1"/>
      <c r="Y33" s="1"/>
      <c r="Z33" s="1"/>
    </row>
    <row r="34" spans="1:26" ht="15" customHeight="1">
      <c r="A34" s="1"/>
      <c r="B34" s="415" t="s">
        <v>570</v>
      </c>
      <c r="C34" s="1"/>
      <c r="D34" s="1"/>
      <c r="E34" s="1"/>
      <c r="F34" s="261" t="s">
        <v>143</v>
      </c>
      <c r="G34" s="1"/>
      <c r="H34" s="457" t="s">
        <v>571</v>
      </c>
      <c r="I34" s="1"/>
      <c r="J34" s="1"/>
      <c r="K34" s="1"/>
      <c r="L34" s="1"/>
      <c r="M34" s="1"/>
      <c r="N34" s="1"/>
      <c r="O34" s="1"/>
      <c r="P34" s="1"/>
      <c r="Q34" s="1"/>
      <c r="R34" s="1"/>
      <c r="S34" s="1"/>
      <c r="T34" s="1"/>
      <c r="U34" s="1"/>
      <c r="V34" s="1"/>
      <c r="W34" s="1"/>
      <c r="X34" s="1"/>
      <c r="Y34" s="1"/>
      <c r="Z34" s="1"/>
    </row>
    <row r="35" spans="1:26" ht="15" customHeight="1">
      <c r="A35" s="1"/>
      <c r="B35" s="415" t="s">
        <v>572</v>
      </c>
      <c r="C35" s="1"/>
      <c r="D35" s="477" t="s">
        <v>573</v>
      </c>
      <c r="E35" s="1"/>
      <c r="F35" s="222" t="s">
        <v>574</v>
      </c>
      <c r="G35" s="1"/>
      <c r="H35" s="478" t="s">
        <v>208</v>
      </c>
      <c r="I35" s="1"/>
      <c r="J35" s="1"/>
      <c r="K35" s="1"/>
      <c r="L35" s="1"/>
      <c r="M35" s="1"/>
      <c r="N35" s="1"/>
      <c r="O35" s="1"/>
      <c r="P35" s="1"/>
      <c r="Q35" s="1"/>
      <c r="R35" s="1"/>
      <c r="S35" s="1"/>
      <c r="T35" s="1"/>
      <c r="U35" s="1"/>
      <c r="V35" s="1"/>
      <c r="W35" s="1"/>
      <c r="X35" s="1"/>
      <c r="Y35" s="1"/>
      <c r="Z35" s="1"/>
    </row>
    <row r="36" spans="1:26" ht="15" customHeight="1">
      <c r="A36" s="1"/>
      <c r="B36" s="415" t="s">
        <v>575</v>
      </c>
      <c r="C36" s="1"/>
      <c r="D36" s="479" t="s">
        <v>576</v>
      </c>
      <c r="E36" s="1"/>
      <c r="F36" s="222" t="s">
        <v>577</v>
      </c>
      <c r="G36" s="1"/>
      <c r="H36" s="480" t="s">
        <v>210</v>
      </c>
      <c r="I36" s="1"/>
      <c r="J36" s="457" t="s">
        <v>578</v>
      </c>
      <c r="K36" s="1"/>
      <c r="L36" s="1"/>
      <c r="M36" s="1"/>
      <c r="N36" s="1"/>
      <c r="O36" s="1"/>
      <c r="P36" s="1"/>
      <c r="Q36" s="1"/>
      <c r="R36" s="1"/>
      <c r="S36" s="1"/>
      <c r="T36" s="1"/>
      <c r="U36" s="1"/>
      <c r="V36" s="1"/>
      <c r="W36" s="1"/>
      <c r="X36" s="1"/>
      <c r="Y36" s="1"/>
      <c r="Z36" s="1"/>
    </row>
    <row r="37" spans="1:26" ht="15" customHeight="1">
      <c r="A37" s="1"/>
      <c r="B37" s="415" t="s">
        <v>579</v>
      </c>
      <c r="C37" s="1"/>
      <c r="D37" s="481" t="s">
        <v>150</v>
      </c>
      <c r="E37" s="1"/>
      <c r="F37" s="10"/>
      <c r="G37" s="1"/>
      <c r="H37" s="480" t="s">
        <v>212</v>
      </c>
      <c r="I37" s="1"/>
      <c r="J37" s="482" t="s">
        <v>372</v>
      </c>
      <c r="K37" s="1"/>
      <c r="L37" s="1"/>
      <c r="M37" s="1"/>
      <c r="N37" s="1"/>
      <c r="O37" s="1"/>
      <c r="P37" s="1"/>
      <c r="Q37" s="1"/>
      <c r="R37" s="1"/>
      <c r="S37" s="1"/>
      <c r="T37" s="1"/>
      <c r="U37" s="1"/>
      <c r="V37" s="1"/>
      <c r="W37" s="1"/>
      <c r="X37" s="1"/>
      <c r="Y37" s="1"/>
      <c r="Z37" s="1"/>
    </row>
    <row r="38" spans="1:26" ht="15" customHeight="1">
      <c r="A38" s="1"/>
      <c r="B38" s="415" t="s">
        <v>580</v>
      </c>
      <c r="C38" s="1"/>
      <c r="D38" s="483" t="s">
        <v>146</v>
      </c>
      <c r="E38" s="1"/>
      <c r="F38" s="1"/>
      <c r="G38" s="1"/>
      <c r="H38" s="480" t="s">
        <v>216</v>
      </c>
      <c r="I38" s="1"/>
      <c r="J38" s="222" t="s">
        <v>374</v>
      </c>
      <c r="K38" s="1"/>
      <c r="L38" s="1"/>
      <c r="M38" s="1"/>
      <c r="N38" s="1"/>
      <c r="O38" s="1"/>
      <c r="P38" s="1"/>
      <c r="Q38" s="1"/>
      <c r="R38" s="1"/>
      <c r="S38" s="1"/>
      <c r="T38" s="1"/>
      <c r="U38" s="1"/>
      <c r="V38" s="1"/>
      <c r="W38" s="1"/>
      <c r="X38" s="1"/>
      <c r="Y38" s="1"/>
      <c r="Z38" s="1"/>
    </row>
    <row r="39" spans="1:26" ht="15" customHeight="1">
      <c r="A39" s="1"/>
      <c r="B39" s="415" t="s">
        <v>581</v>
      </c>
      <c r="C39" s="1"/>
      <c r="D39" s="483" t="s">
        <v>136</v>
      </c>
      <c r="E39" s="1"/>
      <c r="F39" s="1"/>
      <c r="G39" s="1"/>
      <c r="H39" s="480" t="s">
        <v>214</v>
      </c>
      <c r="I39" s="1"/>
      <c r="J39" s="222" t="s">
        <v>376</v>
      </c>
      <c r="K39" s="1"/>
      <c r="L39" s="1"/>
      <c r="M39" s="1"/>
      <c r="N39" s="1"/>
      <c r="O39" s="1"/>
      <c r="P39" s="1"/>
      <c r="Q39" s="1"/>
      <c r="R39" s="1"/>
      <c r="S39" s="1"/>
      <c r="T39" s="1"/>
      <c r="U39" s="1"/>
      <c r="V39" s="1"/>
      <c r="W39" s="1"/>
      <c r="X39" s="1"/>
      <c r="Y39" s="1"/>
      <c r="Z39" s="1"/>
    </row>
    <row r="40" spans="1:26" ht="15" customHeight="1">
      <c r="A40" s="1"/>
      <c r="B40" s="415" t="s">
        <v>582</v>
      </c>
      <c r="C40" s="1"/>
      <c r="D40" s="10"/>
      <c r="E40" s="1"/>
      <c r="F40" s="136" t="s">
        <v>583</v>
      </c>
      <c r="G40" s="1"/>
      <c r="H40" s="484" t="s">
        <v>215</v>
      </c>
      <c r="I40" s="1"/>
      <c r="J40" s="1"/>
      <c r="K40" s="1"/>
      <c r="L40" s="1"/>
      <c r="M40" s="1"/>
      <c r="N40" s="1"/>
      <c r="O40" s="1"/>
      <c r="P40" s="1"/>
      <c r="Q40" s="1"/>
      <c r="R40" s="1"/>
      <c r="S40" s="1"/>
      <c r="T40" s="1"/>
      <c r="U40" s="1"/>
      <c r="V40" s="1"/>
      <c r="W40" s="1"/>
      <c r="X40" s="1"/>
      <c r="Y40" s="1"/>
      <c r="Z40" s="1"/>
    </row>
    <row r="41" spans="1:26" ht="15" customHeight="1">
      <c r="A41" s="1"/>
      <c r="B41" s="415" t="s">
        <v>584</v>
      </c>
      <c r="C41" s="1"/>
      <c r="D41" s="1"/>
      <c r="E41" s="1"/>
      <c r="F41" s="482" t="s">
        <v>508</v>
      </c>
      <c r="G41" s="1"/>
      <c r="H41" s="1"/>
      <c r="I41" s="1"/>
      <c r="J41" s="1"/>
      <c r="K41" s="1"/>
      <c r="L41" s="1"/>
      <c r="M41" s="1"/>
      <c r="N41" s="1"/>
      <c r="O41" s="1"/>
      <c r="P41" s="1"/>
      <c r="Q41" s="1"/>
      <c r="R41" s="1"/>
      <c r="S41" s="1"/>
      <c r="T41" s="1"/>
      <c r="U41" s="1"/>
      <c r="V41" s="1"/>
      <c r="W41" s="1"/>
      <c r="X41" s="1"/>
      <c r="Y41" s="1"/>
      <c r="Z41" s="1"/>
    </row>
    <row r="42" spans="1:26" ht="15" customHeight="1">
      <c r="A42" s="1"/>
      <c r="B42" s="415" t="s">
        <v>585</v>
      </c>
      <c r="C42" s="1"/>
      <c r="D42" s="1"/>
      <c r="E42" s="1"/>
      <c r="F42" s="222" t="s">
        <v>511</v>
      </c>
      <c r="G42" s="1"/>
      <c r="H42" s="485" t="s">
        <v>586</v>
      </c>
      <c r="I42" s="1"/>
      <c r="J42" s="1"/>
      <c r="K42" s="1"/>
      <c r="L42" s="1"/>
      <c r="M42" s="1"/>
      <c r="N42" s="1"/>
      <c r="O42" s="1"/>
      <c r="P42" s="1"/>
      <c r="Q42" s="1"/>
      <c r="R42" s="1"/>
      <c r="S42" s="1"/>
      <c r="T42" s="1"/>
      <c r="U42" s="1"/>
      <c r="V42" s="1"/>
      <c r="W42" s="1"/>
      <c r="X42" s="1"/>
      <c r="Y42" s="1"/>
      <c r="Z42" s="1"/>
    </row>
    <row r="43" spans="1:26" ht="15" customHeight="1">
      <c r="A43" s="1"/>
      <c r="B43" s="415" t="s">
        <v>587</v>
      </c>
      <c r="C43" s="1"/>
      <c r="D43" s="8" t="s">
        <v>147</v>
      </c>
      <c r="E43" s="1"/>
      <c r="F43" s="222" t="s">
        <v>514</v>
      </c>
      <c r="G43" s="1"/>
      <c r="H43" s="486" t="s">
        <v>278</v>
      </c>
      <c r="I43" s="1"/>
      <c r="J43" s="1"/>
      <c r="K43" s="1"/>
      <c r="L43" s="1"/>
      <c r="M43" s="1"/>
      <c r="N43" s="1"/>
      <c r="O43" s="1"/>
      <c r="P43" s="1"/>
      <c r="Q43" s="1"/>
      <c r="R43" s="1"/>
      <c r="S43" s="1"/>
      <c r="T43" s="1"/>
      <c r="U43" s="1"/>
      <c r="V43" s="1"/>
      <c r="W43" s="1"/>
      <c r="X43" s="1"/>
      <c r="Y43" s="1"/>
      <c r="Z43" s="1"/>
    </row>
    <row r="44" spans="1:26" ht="15" customHeight="1">
      <c r="A44" s="1"/>
      <c r="B44" s="415" t="s">
        <v>588</v>
      </c>
      <c r="C44" s="1"/>
      <c r="D44" s="8" t="s">
        <v>141</v>
      </c>
      <c r="E44" s="1"/>
      <c r="F44" s="10"/>
      <c r="G44" s="1"/>
      <c r="H44" s="487" t="s">
        <v>389</v>
      </c>
      <c r="I44" s="1"/>
      <c r="J44" s="1"/>
      <c r="K44" s="1"/>
      <c r="L44" s="1"/>
      <c r="M44" s="1"/>
      <c r="N44" s="1"/>
      <c r="O44" s="1"/>
      <c r="P44" s="1"/>
      <c r="Q44" s="1"/>
      <c r="R44" s="1"/>
      <c r="S44" s="1"/>
      <c r="T44" s="1"/>
      <c r="U44" s="1"/>
      <c r="V44" s="1"/>
      <c r="W44" s="1"/>
      <c r="X44" s="1"/>
      <c r="Y44" s="1"/>
      <c r="Z44" s="1"/>
    </row>
    <row r="45" spans="1:26" ht="15" customHeight="1">
      <c r="A45" s="1"/>
      <c r="B45" s="415" t="s">
        <v>589</v>
      </c>
      <c r="C45" s="1"/>
      <c r="D45" s="10"/>
      <c r="E45" s="1"/>
      <c r="F45" s="1"/>
      <c r="G45" s="1"/>
      <c r="H45" s="487" t="s">
        <v>390</v>
      </c>
      <c r="I45" s="1"/>
      <c r="J45" s="1"/>
      <c r="K45" s="1"/>
      <c r="L45" s="1"/>
      <c r="M45" s="1"/>
      <c r="N45" s="1"/>
      <c r="O45" s="1"/>
      <c r="P45" s="1"/>
      <c r="Q45" s="1"/>
      <c r="R45" s="1"/>
      <c r="S45" s="1"/>
      <c r="T45" s="1"/>
      <c r="U45" s="1"/>
      <c r="V45" s="1"/>
      <c r="W45" s="1"/>
      <c r="X45" s="1"/>
      <c r="Y45" s="1"/>
      <c r="Z45" s="1"/>
    </row>
    <row r="46" spans="1:26" ht="15" customHeight="1">
      <c r="A46" s="1"/>
      <c r="B46" s="415" t="s">
        <v>590</v>
      </c>
      <c r="C46" s="1"/>
      <c r="D46" s="1"/>
      <c r="E46" s="1"/>
      <c r="F46" s="1"/>
      <c r="G46" s="1"/>
      <c r="H46" s="487" t="s">
        <v>391</v>
      </c>
      <c r="I46" s="1"/>
      <c r="J46" s="1"/>
      <c r="K46" s="1"/>
      <c r="L46" s="1"/>
      <c r="M46" s="1"/>
      <c r="N46" s="1"/>
      <c r="O46" s="1"/>
      <c r="P46" s="1"/>
      <c r="Q46" s="1"/>
      <c r="R46" s="1"/>
      <c r="S46" s="1"/>
      <c r="T46" s="1"/>
      <c r="U46" s="1"/>
      <c r="V46" s="1"/>
      <c r="W46" s="1"/>
      <c r="X46" s="1"/>
      <c r="Y46" s="1"/>
      <c r="Z46" s="1"/>
    </row>
    <row r="47" spans="1:26" ht="15" customHeight="1">
      <c r="A47" s="1"/>
      <c r="B47" s="415" t="s">
        <v>591</v>
      </c>
      <c r="C47" s="1"/>
      <c r="D47" s="1"/>
      <c r="E47" s="1"/>
      <c r="F47" s="457" t="s">
        <v>592</v>
      </c>
      <c r="G47" s="1"/>
      <c r="H47" s="487" t="s">
        <v>398</v>
      </c>
      <c r="I47" s="1"/>
      <c r="J47" s="1"/>
      <c r="K47" s="1"/>
      <c r="L47" s="1"/>
      <c r="M47" s="1"/>
      <c r="N47" s="1"/>
      <c r="O47" s="1"/>
      <c r="P47" s="1"/>
      <c r="Q47" s="1"/>
      <c r="R47" s="1"/>
      <c r="S47" s="1"/>
      <c r="T47" s="1"/>
      <c r="U47" s="1"/>
      <c r="V47" s="1"/>
      <c r="W47" s="1"/>
      <c r="X47" s="1"/>
      <c r="Y47" s="1"/>
      <c r="Z47" s="1"/>
    </row>
    <row r="48" spans="1:26" ht="15" customHeight="1">
      <c r="A48" s="1"/>
      <c r="B48" s="415" t="s">
        <v>593</v>
      </c>
      <c r="C48" s="1"/>
      <c r="D48" s="456" t="s">
        <v>594</v>
      </c>
      <c r="E48" s="1"/>
      <c r="F48" s="488" t="s">
        <v>506</v>
      </c>
      <c r="G48" s="1"/>
      <c r="H48" s="487" t="s">
        <v>399</v>
      </c>
      <c r="I48" s="1"/>
      <c r="J48" s="1"/>
      <c r="K48" s="1"/>
      <c r="L48" s="1"/>
      <c r="M48" s="1"/>
      <c r="N48" s="1"/>
      <c r="O48" s="1"/>
      <c r="P48" s="1"/>
      <c r="Q48" s="1"/>
      <c r="R48" s="1"/>
      <c r="S48" s="1"/>
      <c r="T48" s="1"/>
      <c r="U48" s="1"/>
      <c r="V48" s="1"/>
      <c r="W48" s="1"/>
      <c r="X48" s="1"/>
      <c r="Y48" s="1"/>
      <c r="Z48" s="1"/>
    </row>
    <row r="49" spans="1:26" ht="15" customHeight="1">
      <c r="A49" s="1"/>
      <c r="B49" s="415" t="s">
        <v>595</v>
      </c>
      <c r="C49" s="1"/>
      <c r="D49" s="458" t="s">
        <v>139</v>
      </c>
      <c r="E49" s="1"/>
      <c r="F49" s="489" t="s">
        <v>509</v>
      </c>
      <c r="G49" s="1"/>
      <c r="H49" s="487" t="s">
        <v>400</v>
      </c>
      <c r="I49" s="1"/>
      <c r="J49" s="1"/>
      <c r="K49" s="1"/>
      <c r="L49" s="1"/>
      <c r="M49" s="1"/>
      <c r="N49" s="1"/>
      <c r="O49" s="1"/>
      <c r="P49" s="1"/>
      <c r="Q49" s="1"/>
      <c r="R49" s="1"/>
      <c r="S49" s="1"/>
      <c r="T49" s="1"/>
      <c r="U49" s="1"/>
      <c r="V49" s="1"/>
      <c r="W49" s="1"/>
      <c r="X49" s="1"/>
      <c r="Y49" s="1"/>
      <c r="Z49" s="1"/>
    </row>
    <row r="50" spans="1:26" ht="15" customHeight="1">
      <c r="A50" s="1"/>
      <c r="B50" s="415" t="s">
        <v>596</v>
      </c>
      <c r="C50" s="1"/>
      <c r="D50" s="415" t="s">
        <v>148</v>
      </c>
      <c r="E50" s="1"/>
      <c r="F50" s="489" t="s">
        <v>512</v>
      </c>
      <c r="G50" s="1"/>
      <c r="H50" s="487" t="s">
        <v>401</v>
      </c>
      <c r="I50" s="1"/>
      <c r="J50" s="1"/>
      <c r="K50" s="1"/>
      <c r="L50" s="1"/>
      <c r="M50" s="1"/>
      <c r="N50" s="1"/>
      <c r="O50" s="1"/>
      <c r="P50" s="1"/>
      <c r="Q50" s="1"/>
      <c r="R50" s="1"/>
      <c r="S50" s="1"/>
      <c r="T50" s="1"/>
      <c r="U50" s="1"/>
      <c r="V50" s="1"/>
      <c r="W50" s="1"/>
      <c r="X50" s="1"/>
      <c r="Y50" s="1"/>
      <c r="Z50" s="1"/>
    </row>
    <row r="51" spans="1:26" ht="15" customHeight="1">
      <c r="A51" s="1"/>
      <c r="B51" s="415" t="s">
        <v>597</v>
      </c>
      <c r="C51" s="1"/>
      <c r="D51" s="415" t="s">
        <v>151</v>
      </c>
      <c r="E51" s="1"/>
      <c r="F51" s="489" t="s">
        <v>515</v>
      </c>
      <c r="G51" s="1"/>
      <c r="H51" s="487" t="s">
        <v>402</v>
      </c>
      <c r="I51" s="1"/>
      <c r="J51" s="1"/>
      <c r="K51" s="1"/>
      <c r="L51" s="1"/>
      <c r="M51" s="1"/>
      <c r="N51" s="1"/>
      <c r="O51" s="1"/>
      <c r="P51" s="1"/>
      <c r="Q51" s="1"/>
      <c r="R51" s="1"/>
      <c r="S51" s="1"/>
      <c r="T51" s="1"/>
      <c r="U51" s="1"/>
      <c r="V51" s="1"/>
      <c r="W51" s="1"/>
      <c r="X51" s="1"/>
      <c r="Y51" s="1"/>
      <c r="Z51" s="1"/>
    </row>
    <row r="52" spans="1:26" ht="15" customHeight="1">
      <c r="A52" s="1"/>
      <c r="B52" s="415" t="s">
        <v>598</v>
      </c>
      <c r="C52" s="1"/>
      <c r="D52" s="10"/>
      <c r="E52" s="1"/>
      <c r="F52" s="489" t="s">
        <v>517</v>
      </c>
      <c r="G52" s="1"/>
      <c r="H52" s="487" t="s">
        <v>410</v>
      </c>
      <c r="I52" s="1"/>
      <c r="J52" s="1"/>
      <c r="K52" s="1"/>
      <c r="L52" s="1"/>
      <c r="M52" s="1"/>
      <c r="N52" s="1"/>
      <c r="O52" s="1"/>
      <c r="P52" s="1"/>
      <c r="Q52" s="1"/>
      <c r="R52" s="1"/>
      <c r="S52" s="1"/>
      <c r="T52" s="1"/>
      <c r="U52" s="1"/>
      <c r="V52" s="1"/>
      <c r="W52" s="1"/>
      <c r="X52" s="1"/>
      <c r="Y52" s="1"/>
      <c r="Z52" s="1"/>
    </row>
    <row r="53" spans="1:26" ht="15" customHeight="1">
      <c r="A53" s="1"/>
      <c r="B53" s="415" t="s">
        <v>599</v>
      </c>
      <c r="C53" s="1"/>
      <c r="D53" s="10"/>
      <c r="E53" s="1"/>
      <c r="F53" s="10"/>
      <c r="G53" s="1"/>
      <c r="H53" s="1"/>
      <c r="I53" s="1"/>
      <c r="J53" s="1"/>
      <c r="K53" s="1"/>
      <c r="L53" s="1"/>
      <c r="M53" s="1"/>
      <c r="N53" s="1"/>
      <c r="O53" s="1"/>
      <c r="P53" s="1"/>
      <c r="Q53" s="1"/>
      <c r="R53" s="1"/>
      <c r="S53" s="1"/>
      <c r="T53" s="1"/>
      <c r="U53" s="1"/>
      <c r="V53" s="1"/>
      <c r="W53" s="1"/>
      <c r="X53" s="1"/>
      <c r="Y53" s="1"/>
      <c r="Z53" s="1"/>
    </row>
    <row r="54" spans="1:26" ht="15" customHeight="1">
      <c r="A54" s="1"/>
      <c r="B54" s="415" t="s">
        <v>600</v>
      </c>
      <c r="C54" s="1"/>
      <c r="D54" s="10"/>
      <c r="E54" s="1"/>
      <c r="F54" s="1"/>
      <c r="G54" s="1"/>
      <c r="H54" s="490" t="s">
        <v>601</v>
      </c>
      <c r="I54" s="1"/>
      <c r="J54" s="1"/>
      <c r="K54" s="1"/>
      <c r="L54" s="1"/>
      <c r="M54" s="1"/>
      <c r="N54" s="1"/>
      <c r="O54" s="1"/>
      <c r="P54" s="1"/>
      <c r="Q54" s="1"/>
      <c r="R54" s="1"/>
      <c r="S54" s="1"/>
      <c r="T54" s="1"/>
      <c r="U54" s="1"/>
      <c r="V54" s="1"/>
      <c r="W54" s="1"/>
      <c r="X54" s="1"/>
      <c r="Y54" s="1"/>
      <c r="Z54" s="1"/>
    </row>
    <row r="55" spans="1:26" ht="15" customHeight="1">
      <c r="A55" s="1"/>
      <c r="B55" s="415" t="s">
        <v>602</v>
      </c>
      <c r="C55" s="1"/>
      <c r="D55" s="1"/>
      <c r="E55" s="1"/>
      <c r="F55" s="1"/>
      <c r="G55" s="1"/>
      <c r="H55" s="491" t="s">
        <v>417</v>
      </c>
      <c r="I55" s="1"/>
      <c r="J55" s="1"/>
      <c r="K55" s="1"/>
      <c r="L55" s="1"/>
      <c r="M55" s="1"/>
      <c r="N55" s="1"/>
      <c r="O55" s="1"/>
      <c r="P55" s="1"/>
      <c r="Q55" s="1"/>
      <c r="R55" s="1"/>
      <c r="S55" s="1"/>
      <c r="T55" s="1"/>
      <c r="U55" s="1"/>
      <c r="V55" s="1"/>
      <c r="W55" s="1"/>
      <c r="X55" s="1"/>
      <c r="Y55" s="1"/>
      <c r="Z55" s="1"/>
    </row>
    <row r="56" spans="1:26" ht="15" customHeight="1">
      <c r="A56" s="1"/>
      <c r="B56" s="415" t="s">
        <v>603</v>
      </c>
      <c r="C56" s="1"/>
      <c r="D56" s="457" t="s">
        <v>604</v>
      </c>
      <c r="E56" s="1"/>
      <c r="F56" s="457" t="s">
        <v>605</v>
      </c>
      <c r="G56" s="1"/>
      <c r="H56" s="491" t="s">
        <v>418</v>
      </c>
      <c r="I56" s="1"/>
      <c r="J56" s="1"/>
      <c r="K56" s="1"/>
      <c r="L56" s="1"/>
      <c r="M56" s="1"/>
      <c r="N56" s="1"/>
      <c r="O56" s="1"/>
      <c r="P56" s="1"/>
      <c r="Q56" s="1"/>
      <c r="R56" s="1"/>
      <c r="S56" s="1"/>
      <c r="T56" s="1"/>
      <c r="U56" s="1"/>
      <c r="V56" s="1"/>
      <c r="W56" s="1"/>
      <c r="X56" s="1"/>
      <c r="Y56" s="1"/>
      <c r="Z56" s="1"/>
    </row>
    <row r="57" spans="1:26" ht="15" customHeight="1">
      <c r="A57" s="1"/>
      <c r="B57" s="415" t="s">
        <v>606</v>
      </c>
      <c r="C57" s="1"/>
      <c r="D57" s="261" t="s">
        <v>307</v>
      </c>
      <c r="E57" s="1"/>
      <c r="F57" s="261" t="s">
        <v>607</v>
      </c>
      <c r="G57" s="1"/>
      <c r="H57" s="491" t="s">
        <v>419</v>
      </c>
      <c r="I57" s="1"/>
      <c r="J57" s="1"/>
      <c r="K57" s="1"/>
      <c r="L57" s="1"/>
      <c r="M57" s="1"/>
      <c r="N57" s="1"/>
      <c r="O57" s="1"/>
      <c r="P57" s="1"/>
      <c r="Q57" s="1"/>
      <c r="R57" s="1"/>
      <c r="S57" s="1"/>
      <c r="T57" s="1"/>
      <c r="U57" s="1"/>
      <c r="V57" s="1"/>
      <c r="W57" s="1"/>
      <c r="X57" s="1"/>
      <c r="Y57" s="1"/>
      <c r="Z57" s="1"/>
    </row>
    <row r="58" spans="1:26" ht="15" customHeight="1">
      <c r="A58" s="1"/>
      <c r="B58" s="415" t="s">
        <v>608</v>
      </c>
      <c r="C58" s="1"/>
      <c r="D58" s="222" t="s">
        <v>306</v>
      </c>
      <c r="E58" s="1"/>
      <c r="F58" s="222" t="s">
        <v>609</v>
      </c>
      <c r="G58" s="1"/>
      <c r="H58" s="491" t="s">
        <v>420</v>
      </c>
      <c r="I58" s="1"/>
      <c r="J58" s="1"/>
      <c r="K58" s="1"/>
      <c r="L58" s="1"/>
      <c r="M58" s="1"/>
      <c r="N58" s="1"/>
      <c r="O58" s="1"/>
      <c r="P58" s="1"/>
      <c r="Q58" s="1"/>
      <c r="R58" s="1"/>
      <c r="S58" s="1"/>
      <c r="T58" s="1"/>
      <c r="U58" s="1"/>
      <c r="V58" s="1"/>
      <c r="W58" s="1"/>
      <c r="X58" s="1"/>
      <c r="Y58" s="1"/>
      <c r="Z58" s="1"/>
    </row>
    <row r="59" spans="1:26" ht="15" customHeight="1">
      <c r="A59" s="1"/>
      <c r="B59" s="415" t="s">
        <v>610</v>
      </c>
      <c r="C59" s="1"/>
      <c r="D59" s="222" t="s">
        <v>308</v>
      </c>
      <c r="E59" s="1"/>
      <c r="F59" s="222" t="s">
        <v>577</v>
      </c>
      <c r="G59" s="1"/>
      <c r="H59" s="491" t="s">
        <v>421</v>
      </c>
      <c r="I59" s="1"/>
      <c r="J59" s="1"/>
      <c r="K59" s="1"/>
      <c r="L59" s="1"/>
      <c r="M59" s="1"/>
      <c r="N59" s="1"/>
      <c r="O59" s="1"/>
      <c r="P59" s="1"/>
      <c r="Q59" s="1"/>
      <c r="R59" s="1"/>
      <c r="S59" s="1"/>
      <c r="T59" s="1"/>
      <c r="U59" s="1"/>
      <c r="V59" s="1"/>
      <c r="W59" s="1"/>
      <c r="X59" s="1"/>
      <c r="Y59" s="1"/>
      <c r="Z59" s="1"/>
    </row>
    <row r="60" spans="1:26" ht="15" customHeight="1">
      <c r="A60" s="1"/>
      <c r="B60" s="415" t="s">
        <v>611</v>
      </c>
      <c r="C60" s="1"/>
      <c r="D60" s="10"/>
      <c r="E60" s="1"/>
      <c r="F60" s="1"/>
      <c r="G60" s="1"/>
      <c r="H60" s="1"/>
      <c r="I60" s="1"/>
      <c r="J60" s="1"/>
      <c r="K60" s="1"/>
      <c r="L60" s="1"/>
      <c r="M60" s="1"/>
      <c r="N60" s="1"/>
      <c r="O60" s="1"/>
      <c r="P60" s="1"/>
      <c r="Q60" s="1"/>
      <c r="R60" s="1"/>
      <c r="S60" s="1"/>
      <c r="T60" s="1"/>
      <c r="U60" s="1"/>
      <c r="V60" s="1"/>
      <c r="W60" s="1"/>
      <c r="X60" s="1"/>
      <c r="Y60" s="1"/>
      <c r="Z60" s="1"/>
    </row>
    <row r="61" spans="1:26" ht="15" customHeight="1">
      <c r="A61" s="1"/>
      <c r="B61" s="415" t="s">
        <v>612</v>
      </c>
      <c r="C61" s="1"/>
      <c r="D61" s="1"/>
      <c r="E61" s="1"/>
      <c r="F61" s="1"/>
      <c r="G61" s="1"/>
      <c r="H61" s="1"/>
      <c r="I61" s="1"/>
      <c r="J61" s="1"/>
      <c r="K61" s="1"/>
      <c r="L61" s="1"/>
      <c r="M61" s="1"/>
      <c r="N61" s="1"/>
      <c r="O61" s="1"/>
      <c r="P61" s="1"/>
      <c r="Q61" s="1"/>
      <c r="R61" s="1"/>
      <c r="S61" s="1"/>
      <c r="T61" s="1"/>
      <c r="U61" s="1"/>
      <c r="V61" s="1"/>
      <c r="W61" s="1"/>
      <c r="X61" s="1"/>
      <c r="Y61" s="1"/>
      <c r="Z61" s="1"/>
    </row>
    <row r="62" spans="1:26" ht="15" customHeight="1">
      <c r="A62" s="1"/>
      <c r="B62" s="415" t="s">
        <v>613</v>
      </c>
      <c r="C62" s="1"/>
      <c r="D62" s="1"/>
      <c r="E62" s="1"/>
      <c r="F62" s="1"/>
      <c r="G62" s="1"/>
      <c r="H62" s="1"/>
      <c r="I62" s="1"/>
      <c r="J62" s="1"/>
      <c r="K62" s="1"/>
      <c r="L62" s="1"/>
      <c r="M62" s="1"/>
      <c r="N62" s="1"/>
      <c r="O62" s="1"/>
      <c r="P62" s="1"/>
      <c r="Q62" s="1"/>
      <c r="R62" s="1"/>
      <c r="S62" s="1"/>
      <c r="T62" s="1"/>
      <c r="U62" s="1"/>
      <c r="V62" s="1"/>
      <c r="W62" s="1"/>
      <c r="X62" s="1"/>
      <c r="Y62" s="1"/>
      <c r="Z62" s="1"/>
    </row>
    <row r="63" spans="1:26" ht="15" customHeight="1">
      <c r="A63" s="1"/>
      <c r="B63" s="415" t="s">
        <v>614</v>
      </c>
      <c r="C63" s="1"/>
      <c r="D63" s="457" t="s">
        <v>615</v>
      </c>
      <c r="E63" s="1"/>
      <c r="F63" s="457" t="s">
        <v>616</v>
      </c>
      <c r="G63" s="1"/>
      <c r="H63" s="1"/>
      <c r="I63" s="1"/>
      <c r="J63" s="1"/>
      <c r="K63" s="1"/>
      <c r="L63" s="1"/>
      <c r="M63" s="1"/>
      <c r="N63" s="1"/>
      <c r="O63" s="1"/>
      <c r="P63" s="1"/>
      <c r="Q63" s="1"/>
      <c r="R63" s="1"/>
      <c r="S63" s="1"/>
      <c r="T63" s="1"/>
      <c r="U63" s="1"/>
      <c r="V63" s="1"/>
      <c r="W63" s="1"/>
      <c r="X63" s="1"/>
      <c r="Y63" s="1"/>
      <c r="Z63" s="1"/>
    </row>
    <row r="64" spans="1:26" ht="15" customHeight="1">
      <c r="A64" s="1"/>
      <c r="B64" s="415" t="s">
        <v>617</v>
      </c>
      <c r="C64" s="1"/>
      <c r="D64" s="492" t="s">
        <v>209</v>
      </c>
      <c r="E64" s="1"/>
      <c r="F64" s="261" t="s">
        <v>482</v>
      </c>
      <c r="G64" s="1"/>
      <c r="H64" s="1"/>
      <c r="I64" s="1"/>
      <c r="J64" s="1"/>
      <c r="K64" s="1"/>
      <c r="L64" s="1"/>
      <c r="M64" s="1"/>
      <c r="N64" s="1"/>
      <c r="O64" s="1"/>
      <c r="P64" s="1"/>
      <c r="Q64" s="1"/>
      <c r="R64" s="1"/>
      <c r="S64" s="1"/>
      <c r="T64" s="1"/>
      <c r="U64" s="1"/>
      <c r="V64" s="1"/>
      <c r="W64" s="1"/>
      <c r="X64" s="1"/>
      <c r="Y64" s="1"/>
      <c r="Z64" s="1"/>
    </row>
    <row r="65" spans="1:26" ht="15" customHeight="1">
      <c r="A65" s="1"/>
      <c r="B65" s="415" t="s">
        <v>618</v>
      </c>
      <c r="C65" s="1"/>
      <c r="D65" s="493" t="s">
        <v>211</v>
      </c>
      <c r="E65" s="1"/>
      <c r="F65" s="222" t="s">
        <v>474</v>
      </c>
      <c r="G65" s="1"/>
      <c r="H65" s="1"/>
      <c r="I65" s="1"/>
      <c r="J65" s="1"/>
      <c r="K65" s="1"/>
      <c r="L65" s="1"/>
      <c r="M65" s="1"/>
      <c r="N65" s="1"/>
      <c r="O65" s="1"/>
      <c r="P65" s="1"/>
      <c r="Q65" s="1"/>
      <c r="R65" s="1"/>
      <c r="S65" s="1"/>
      <c r="T65" s="1"/>
      <c r="U65" s="1"/>
      <c r="V65" s="1"/>
      <c r="W65" s="1"/>
      <c r="X65" s="1"/>
      <c r="Y65" s="1"/>
      <c r="Z65" s="1"/>
    </row>
    <row r="66" spans="1:26" ht="15" customHeight="1">
      <c r="A66" s="1"/>
      <c r="B66" s="415" t="s">
        <v>619</v>
      </c>
      <c r="C66" s="1"/>
      <c r="D66" s="493" t="s">
        <v>620</v>
      </c>
      <c r="E66" s="1"/>
      <c r="F66" s="222" t="s">
        <v>476</v>
      </c>
      <c r="G66" s="1"/>
      <c r="H66" s="1"/>
      <c r="I66" s="1"/>
      <c r="J66" s="1"/>
      <c r="K66" s="1"/>
      <c r="L66" s="1"/>
      <c r="M66" s="1"/>
      <c r="N66" s="1"/>
      <c r="O66" s="1"/>
      <c r="P66" s="1"/>
      <c r="Q66" s="1"/>
      <c r="R66" s="1"/>
      <c r="S66" s="1"/>
      <c r="T66" s="1"/>
      <c r="U66" s="1"/>
      <c r="V66" s="1"/>
      <c r="W66" s="1"/>
      <c r="X66" s="1"/>
      <c r="Y66" s="1"/>
      <c r="Z66" s="1"/>
    </row>
    <row r="67" spans="1:26" ht="15" customHeight="1">
      <c r="A67" s="1"/>
      <c r="B67" s="415" t="s">
        <v>621</v>
      </c>
      <c r="C67" s="1"/>
      <c r="D67" s="493" t="s">
        <v>473</v>
      </c>
      <c r="E67" s="1"/>
      <c r="F67" s="222" t="s">
        <v>472</v>
      </c>
      <c r="G67" s="1"/>
      <c r="H67" s="1"/>
      <c r="I67" s="1"/>
      <c r="J67" s="1"/>
      <c r="K67" s="1"/>
      <c r="L67" s="1"/>
      <c r="M67" s="1"/>
      <c r="N67" s="1"/>
      <c r="O67" s="1"/>
      <c r="P67" s="1"/>
      <c r="Q67" s="1"/>
      <c r="R67" s="1"/>
      <c r="S67" s="1"/>
      <c r="T67" s="1"/>
      <c r="U67" s="1"/>
      <c r="V67" s="1"/>
      <c r="W67" s="1"/>
      <c r="X67" s="1"/>
      <c r="Y67" s="1"/>
      <c r="Z67" s="1"/>
    </row>
    <row r="68" spans="1:26" ht="15" customHeight="1">
      <c r="A68" s="1"/>
      <c r="B68" s="415" t="s">
        <v>138</v>
      </c>
      <c r="C68" s="1"/>
      <c r="D68" s="10"/>
      <c r="E68" s="1"/>
      <c r="F68" s="1"/>
      <c r="G68" s="1"/>
      <c r="H68" s="1"/>
      <c r="I68" s="1"/>
      <c r="J68" s="1"/>
      <c r="K68" s="1"/>
      <c r="L68" s="1"/>
      <c r="M68" s="1"/>
      <c r="N68" s="1"/>
      <c r="O68" s="1"/>
      <c r="P68" s="1"/>
      <c r="Q68" s="1"/>
      <c r="R68" s="1"/>
      <c r="S68" s="1"/>
      <c r="T68" s="1"/>
      <c r="U68" s="1"/>
      <c r="V68" s="1"/>
      <c r="W68" s="1"/>
      <c r="X68" s="1"/>
      <c r="Y68" s="1"/>
      <c r="Z68" s="1"/>
    </row>
    <row r="69" spans="1:26" ht="15" customHeight="1">
      <c r="A69" s="1"/>
      <c r="B69" s="415" t="s">
        <v>622</v>
      </c>
      <c r="C69" s="1"/>
      <c r="D69" s="10"/>
      <c r="E69" s="1"/>
      <c r="F69" s="1"/>
      <c r="G69" s="1"/>
      <c r="H69" s="1"/>
      <c r="I69" s="1"/>
      <c r="J69" s="1"/>
      <c r="K69" s="1"/>
      <c r="L69" s="1"/>
      <c r="M69" s="1"/>
      <c r="N69" s="1"/>
      <c r="O69" s="1"/>
      <c r="P69" s="1"/>
      <c r="Q69" s="1"/>
      <c r="R69" s="1"/>
      <c r="S69" s="1"/>
      <c r="T69" s="1"/>
      <c r="U69" s="1"/>
      <c r="V69" s="1"/>
      <c r="W69" s="1"/>
      <c r="X69" s="1"/>
      <c r="Y69" s="1"/>
      <c r="Z69" s="1"/>
    </row>
    <row r="70" spans="1:26" ht="15" customHeight="1">
      <c r="A70" s="1"/>
      <c r="B70" s="415" t="s">
        <v>623</v>
      </c>
      <c r="C70" s="1"/>
      <c r="D70" s="10"/>
      <c r="E70" s="1"/>
      <c r="F70" s="1"/>
      <c r="G70" s="1"/>
      <c r="H70" s="1"/>
      <c r="I70" s="1"/>
      <c r="J70" s="1"/>
      <c r="K70" s="1"/>
      <c r="L70" s="1"/>
      <c r="M70" s="1"/>
      <c r="N70" s="1"/>
      <c r="O70" s="1"/>
      <c r="P70" s="1"/>
      <c r="Q70" s="1"/>
      <c r="R70" s="1"/>
      <c r="S70" s="1"/>
      <c r="T70" s="1"/>
      <c r="U70" s="1"/>
      <c r="V70" s="1"/>
      <c r="W70" s="1"/>
      <c r="X70" s="1"/>
      <c r="Y70" s="1"/>
      <c r="Z70" s="1"/>
    </row>
    <row r="71" spans="1:26" ht="15" customHeight="1">
      <c r="A71" s="1"/>
      <c r="B71" s="415" t="s">
        <v>624</v>
      </c>
      <c r="C71" s="1"/>
      <c r="D71" s="473" t="s">
        <v>625</v>
      </c>
      <c r="E71" s="1"/>
      <c r="F71" s="457" t="s">
        <v>626</v>
      </c>
      <c r="G71" s="1"/>
      <c r="H71" s="1"/>
      <c r="I71" s="1"/>
      <c r="J71" s="1"/>
      <c r="K71" s="1"/>
      <c r="L71" s="1"/>
      <c r="M71" s="1"/>
      <c r="N71" s="1"/>
      <c r="O71" s="1"/>
      <c r="P71" s="1"/>
      <c r="Q71" s="1"/>
      <c r="R71" s="1"/>
      <c r="S71" s="1"/>
      <c r="T71" s="1"/>
      <c r="U71" s="1"/>
      <c r="V71" s="1"/>
      <c r="W71" s="1"/>
      <c r="X71" s="1"/>
      <c r="Y71" s="1"/>
      <c r="Z71" s="1"/>
    </row>
    <row r="72" spans="1:26" ht="15" customHeight="1">
      <c r="A72" s="1"/>
      <c r="B72" s="415" t="s">
        <v>627</v>
      </c>
      <c r="C72" s="1"/>
      <c r="D72" s="465" t="s">
        <v>208</v>
      </c>
      <c r="E72" s="1"/>
      <c r="F72" s="261" t="s">
        <v>628</v>
      </c>
      <c r="G72" s="1"/>
      <c r="H72" s="1"/>
      <c r="I72" s="1"/>
      <c r="J72" s="1"/>
      <c r="K72" s="1"/>
      <c r="L72" s="1"/>
      <c r="M72" s="1"/>
      <c r="N72" s="1"/>
      <c r="O72" s="1"/>
      <c r="P72" s="1"/>
      <c r="Q72" s="1"/>
      <c r="R72" s="1"/>
      <c r="S72" s="1"/>
      <c r="T72" s="1"/>
      <c r="U72" s="1"/>
      <c r="V72" s="1"/>
      <c r="W72" s="1"/>
      <c r="X72" s="1"/>
      <c r="Y72" s="1"/>
      <c r="Z72" s="1"/>
    </row>
    <row r="73" spans="1:26" ht="15" customHeight="1">
      <c r="A73" s="1"/>
      <c r="B73" s="415" t="s">
        <v>629</v>
      </c>
      <c r="C73" s="1"/>
      <c r="D73" s="466" t="s">
        <v>210</v>
      </c>
      <c r="E73" s="1"/>
      <c r="F73" s="222" t="s">
        <v>145</v>
      </c>
      <c r="G73" s="1"/>
      <c r="H73" s="1"/>
      <c r="I73" s="1"/>
      <c r="J73" s="1"/>
      <c r="K73" s="1"/>
      <c r="L73" s="1"/>
      <c r="M73" s="1"/>
      <c r="N73" s="1"/>
      <c r="O73" s="1"/>
      <c r="P73" s="1"/>
      <c r="Q73" s="1"/>
      <c r="R73" s="1"/>
      <c r="S73" s="1"/>
      <c r="T73" s="1"/>
      <c r="U73" s="1"/>
      <c r="V73" s="1"/>
      <c r="W73" s="1"/>
      <c r="X73" s="1"/>
      <c r="Y73" s="1"/>
      <c r="Z73" s="1"/>
    </row>
    <row r="74" spans="1:26" ht="15" customHeight="1">
      <c r="A74" s="1"/>
      <c r="B74" s="415" t="s">
        <v>630</v>
      </c>
      <c r="C74" s="1"/>
      <c r="D74" s="466" t="s">
        <v>212</v>
      </c>
      <c r="E74" s="1"/>
      <c r="F74" s="222" t="s">
        <v>475</v>
      </c>
      <c r="G74" s="1"/>
      <c r="H74" s="1"/>
      <c r="I74" s="1"/>
      <c r="J74" s="1"/>
      <c r="K74" s="1"/>
      <c r="L74" s="1"/>
      <c r="M74" s="1"/>
      <c r="N74" s="1"/>
      <c r="O74" s="1"/>
      <c r="P74" s="1"/>
      <c r="Q74" s="1"/>
      <c r="R74" s="1"/>
      <c r="S74" s="1"/>
      <c r="T74" s="1"/>
      <c r="U74" s="1"/>
      <c r="V74" s="1"/>
      <c r="W74" s="1"/>
      <c r="X74" s="1"/>
      <c r="Y74" s="1"/>
      <c r="Z74" s="1"/>
    </row>
    <row r="75" spans="1:26" ht="15" customHeight="1">
      <c r="A75" s="1"/>
      <c r="B75" s="415" t="s">
        <v>631</v>
      </c>
      <c r="C75" s="1"/>
      <c r="D75" s="466" t="s">
        <v>632</v>
      </c>
      <c r="E75" s="1"/>
      <c r="F75" s="222" t="s">
        <v>477</v>
      </c>
      <c r="G75" s="1"/>
      <c r="H75" s="1"/>
      <c r="I75" s="1"/>
      <c r="J75" s="1"/>
      <c r="K75" s="1"/>
      <c r="L75" s="1"/>
      <c r="M75" s="1"/>
      <c r="N75" s="1"/>
      <c r="O75" s="1"/>
      <c r="P75" s="1"/>
      <c r="Q75" s="1"/>
      <c r="R75" s="1"/>
      <c r="S75" s="1"/>
      <c r="T75" s="1"/>
      <c r="U75" s="1"/>
      <c r="V75" s="1"/>
      <c r="W75" s="1"/>
      <c r="X75" s="1"/>
      <c r="Y75" s="1"/>
      <c r="Z75" s="1"/>
    </row>
    <row r="76" spans="1:26" ht="15" customHeight="1">
      <c r="A76" s="1"/>
      <c r="B76" s="415" t="s">
        <v>633</v>
      </c>
      <c r="C76" s="1"/>
      <c r="D76" s="466" t="s">
        <v>634</v>
      </c>
      <c r="E76" s="1"/>
      <c r="F76" s="466" t="s">
        <v>478</v>
      </c>
      <c r="G76" s="1"/>
      <c r="H76" s="1"/>
      <c r="I76" s="1"/>
      <c r="J76" s="1"/>
      <c r="K76" s="1"/>
      <c r="L76" s="1"/>
      <c r="M76" s="1"/>
      <c r="N76" s="1"/>
      <c r="O76" s="1"/>
      <c r="P76" s="1"/>
      <c r="Q76" s="1"/>
      <c r="R76" s="1"/>
      <c r="S76" s="1"/>
      <c r="T76" s="1"/>
      <c r="U76" s="1"/>
      <c r="V76" s="1"/>
      <c r="W76" s="1"/>
      <c r="X76" s="1"/>
      <c r="Y76" s="1"/>
      <c r="Z76" s="1"/>
    </row>
    <row r="77" spans="1:26" ht="15" customHeight="1">
      <c r="A77" s="1"/>
      <c r="B77" s="415" t="s">
        <v>635</v>
      </c>
      <c r="C77" s="1"/>
      <c r="D77" s="466" t="s">
        <v>482</v>
      </c>
      <c r="E77" s="1"/>
      <c r="F77" s="222" t="s">
        <v>473</v>
      </c>
      <c r="G77" s="1"/>
      <c r="H77" s="1"/>
      <c r="I77" s="1"/>
      <c r="J77" s="1"/>
      <c r="K77" s="1"/>
      <c r="L77" s="1"/>
      <c r="M77" s="1"/>
      <c r="N77" s="1"/>
      <c r="O77" s="1"/>
      <c r="P77" s="1"/>
      <c r="Q77" s="1"/>
      <c r="R77" s="1"/>
      <c r="S77" s="1"/>
      <c r="T77" s="1"/>
      <c r="U77" s="1"/>
      <c r="V77" s="1"/>
      <c r="W77" s="1"/>
      <c r="X77" s="1"/>
      <c r="Y77" s="1"/>
      <c r="Z77" s="1"/>
    </row>
    <row r="78" spans="1:26" ht="15" customHeight="1">
      <c r="A78" s="1"/>
      <c r="B78" s="415" t="s">
        <v>636</v>
      </c>
      <c r="C78" s="1"/>
      <c r="D78" s="466" t="s">
        <v>417</v>
      </c>
      <c r="E78" s="1"/>
      <c r="F78" s="1"/>
      <c r="G78" s="1"/>
      <c r="H78" s="1"/>
      <c r="I78" s="1"/>
      <c r="J78" s="1"/>
      <c r="K78" s="1"/>
      <c r="L78" s="1"/>
      <c r="M78" s="1"/>
      <c r="N78" s="1"/>
      <c r="O78" s="1"/>
      <c r="P78" s="1"/>
      <c r="Q78" s="1"/>
      <c r="R78" s="1"/>
      <c r="S78" s="1"/>
      <c r="T78" s="1"/>
      <c r="U78" s="1"/>
      <c r="V78" s="1"/>
      <c r="W78" s="1"/>
      <c r="X78" s="1"/>
      <c r="Y78" s="1"/>
      <c r="Z78" s="1"/>
    </row>
    <row r="79" spans="1:26" ht="15" customHeight="1">
      <c r="A79" s="1"/>
      <c r="B79" s="415" t="s">
        <v>637</v>
      </c>
      <c r="C79" s="1"/>
      <c r="D79" s="466" t="s">
        <v>418</v>
      </c>
      <c r="E79" s="1"/>
      <c r="F79" s="1"/>
      <c r="G79" s="1"/>
      <c r="H79" s="1"/>
      <c r="I79" s="1"/>
      <c r="J79" s="1"/>
      <c r="K79" s="1"/>
      <c r="L79" s="1"/>
      <c r="M79" s="1"/>
      <c r="N79" s="1"/>
      <c r="O79" s="1"/>
      <c r="P79" s="1"/>
      <c r="Q79" s="1"/>
      <c r="R79" s="1"/>
      <c r="S79" s="1"/>
      <c r="T79" s="1"/>
      <c r="U79" s="1"/>
      <c r="V79" s="1"/>
      <c r="W79" s="1"/>
      <c r="X79" s="1"/>
      <c r="Y79" s="1"/>
      <c r="Z79" s="1"/>
    </row>
    <row r="80" spans="1:26" ht="15" customHeight="1">
      <c r="A80" s="1"/>
      <c r="B80" s="415" t="s">
        <v>638</v>
      </c>
      <c r="C80" s="1"/>
      <c r="D80" s="466" t="s">
        <v>419</v>
      </c>
      <c r="E80" s="1"/>
      <c r="F80" s="1"/>
      <c r="G80" s="1"/>
      <c r="H80" s="1"/>
      <c r="I80" s="1"/>
      <c r="J80" s="1"/>
      <c r="K80" s="1"/>
      <c r="L80" s="1"/>
      <c r="M80" s="1"/>
      <c r="N80" s="1"/>
      <c r="O80" s="1"/>
      <c r="P80" s="1"/>
      <c r="Q80" s="1"/>
      <c r="R80" s="1"/>
      <c r="S80" s="1"/>
      <c r="T80" s="1"/>
      <c r="U80" s="1"/>
      <c r="V80" s="1"/>
      <c r="W80" s="1"/>
      <c r="X80" s="1"/>
      <c r="Y80" s="1"/>
      <c r="Z80" s="1"/>
    </row>
    <row r="81" spans="1:26" ht="15" customHeight="1">
      <c r="A81" s="1"/>
      <c r="B81" s="415" t="s">
        <v>639</v>
      </c>
      <c r="C81" s="1"/>
      <c r="D81" s="466" t="s">
        <v>420</v>
      </c>
      <c r="E81" s="1"/>
      <c r="F81" s="457" t="s">
        <v>640</v>
      </c>
      <c r="G81" s="1"/>
      <c r="H81" s="1"/>
      <c r="I81" s="1"/>
      <c r="J81" s="1"/>
      <c r="K81" s="1"/>
      <c r="L81" s="1"/>
      <c r="M81" s="1"/>
      <c r="N81" s="1"/>
      <c r="O81" s="1"/>
      <c r="P81" s="1"/>
      <c r="Q81" s="1"/>
      <c r="R81" s="1"/>
      <c r="S81" s="1"/>
      <c r="T81" s="1"/>
      <c r="U81" s="1"/>
      <c r="V81" s="1"/>
      <c r="W81" s="1"/>
      <c r="X81" s="1"/>
      <c r="Y81" s="1"/>
      <c r="Z81" s="1"/>
    </row>
    <row r="82" spans="1:26" ht="15" customHeight="1">
      <c r="A82" s="1"/>
      <c r="B82" s="415" t="s">
        <v>641</v>
      </c>
      <c r="C82" s="1"/>
      <c r="D82" s="466" t="s">
        <v>421</v>
      </c>
      <c r="E82" s="1"/>
      <c r="F82" s="261" t="s">
        <v>455</v>
      </c>
      <c r="G82" s="1"/>
      <c r="H82" s="1"/>
      <c r="I82" s="1"/>
      <c r="J82" s="1"/>
      <c r="K82" s="1"/>
      <c r="L82" s="1"/>
      <c r="M82" s="1"/>
      <c r="N82" s="1"/>
      <c r="O82" s="1"/>
      <c r="P82" s="1"/>
      <c r="Q82" s="1"/>
      <c r="R82" s="1"/>
      <c r="S82" s="1"/>
      <c r="T82" s="1"/>
      <c r="U82" s="1"/>
      <c r="V82" s="1"/>
      <c r="W82" s="1"/>
      <c r="X82" s="1"/>
      <c r="Y82" s="1"/>
      <c r="Z82" s="1"/>
    </row>
    <row r="83" spans="1:26" ht="15" customHeight="1">
      <c r="A83" s="1"/>
      <c r="B83" s="415" t="s">
        <v>642</v>
      </c>
      <c r="C83" s="1"/>
      <c r="D83" s="494" t="s">
        <v>178</v>
      </c>
      <c r="E83" s="1"/>
      <c r="F83" s="222" t="s">
        <v>449</v>
      </c>
      <c r="G83" s="1"/>
      <c r="H83" s="1"/>
      <c r="I83" s="1"/>
      <c r="J83" s="1"/>
      <c r="K83" s="1"/>
      <c r="L83" s="1"/>
      <c r="M83" s="1"/>
      <c r="N83" s="1"/>
      <c r="O83" s="1"/>
      <c r="P83" s="1"/>
      <c r="Q83" s="1"/>
      <c r="R83" s="1"/>
      <c r="S83" s="1"/>
      <c r="T83" s="1"/>
      <c r="U83" s="1"/>
      <c r="V83" s="1"/>
      <c r="W83" s="1"/>
      <c r="X83" s="1"/>
      <c r="Y83" s="1"/>
      <c r="Z83" s="1"/>
    </row>
    <row r="84" spans="1:26" ht="15" customHeight="1">
      <c r="A84" s="1"/>
      <c r="B84" s="415" t="s">
        <v>643</v>
      </c>
      <c r="C84" s="1"/>
      <c r="D84" s="494" t="s">
        <v>177</v>
      </c>
      <c r="E84" s="1"/>
      <c r="F84" s="222" t="s">
        <v>450</v>
      </c>
      <c r="G84" s="1"/>
      <c r="H84" s="1"/>
      <c r="I84" s="1"/>
      <c r="J84" s="1"/>
      <c r="K84" s="1"/>
      <c r="L84" s="1"/>
      <c r="M84" s="1"/>
      <c r="N84" s="1"/>
      <c r="O84" s="1"/>
      <c r="P84" s="1"/>
      <c r="Q84" s="1"/>
      <c r="R84" s="1"/>
      <c r="S84" s="1"/>
      <c r="T84" s="1"/>
      <c r="U84" s="1"/>
      <c r="V84" s="1"/>
      <c r="W84" s="1"/>
      <c r="X84" s="1"/>
      <c r="Y84" s="1"/>
      <c r="Z84" s="1"/>
    </row>
    <row r="85" spans="1:26" ht="15" customHeight="1">
      <c r="A85" s="1"/>
      <c r="B85" s="415" t="s">
        <v>644</v>
      </c>
      <c r="C85" s="1"/>
      <c r="D85" s="494" t="s">
        <v>180</v>
      </c>
      <c r="E85" s="1"/>
      <c r="F85" s="222" t="s">
        <v>451</v>
      </c>
      <c r="G85" s="1"/>
      <c r="H85" s="1"/>
      <c r="I85" s="1"/>
      <c r="J85" s="1"/>
      <c r="K85" s="1"/>
      <c r="L85" s="1"/>
      <c r="M85" s="1"/>
      <c r="N85" s="1"/>
      <c r="O85" s="1"/>
      <c r="P85" s="1"/>
      <c r="Q85" s="1"/>
      <c r="R85" s="1"/>
      <c r="S85" s="1"/>
      <c r="T85" s="1"/>
      <c r="U85" s="1"/>
      <c r="V85" s="1"/>
      <c r="W85" s="1"/>
      <c r="X85" s="1"/>
      <c r="Y85" s="1"/>
      <c r="Z85" s="1"/>
    </row>
    <row r="86" spans="1:26" ht="15" customHeight="1">
      <c r="A86" s="1"/>
      <c r="B86" s="415" t="s">
        <v>645</v>
      </c>
      <c r="C86" s="1"/>
      <c r="D86" s="494" t="s">
        <v>193</v>
      </c>
      <c r="E86" s="1"/>
      <c r="F86" s="222" t="s">
        <v>453</v>
      </c>
      <c r="G86" s="1"/>
      <c r="H86" s="1"/>
      <c r="I86" s="1"/>
      <c r="J86" s="1"/>
      <c r="K86" s="1"/>
      <c r="L86" s="1"/>
      <c r="M86" s="1"/>
      <c r="N86" s="1"/>
      <c r="O86" s="1"/>
      <c r="P86" s="1"/>
      <c r="Q86" s="1"/>
      <c r="R86" s="1"/>
      <c r="S86" s="1"/>
      <c r="T86" s="1"/>
      <c r="U86" s="1"/>
      <c r="V86" s="1"/>
      <c r="W86" s="1"/>
      <c r="X86" s="1"/>
      <c r="Y86" s="1"/>
      <c r="Z86" s="1"/>
    </row>
    <row r="87" spans="1:26" ht="15" customHeight="1">
      <c r="A87" s="1"/>
      <c r="B87" s="415" t="s">
        <v>646</v>
      </c>
      <c r="C87" s="1"/>
      <c r="D87" s="466" t="s">
        <v>278</v>
      </c>
      <c r="E87" s="1"/>
      <c r="F87" s="222" t="s">
        <v>454</v>
      </c>
      <c r="G87" s="1"/>
      <c r="H87" s="1"/>
      <c r="I87" s="1"/>
      <c r="J87" s="1"/>
      <c r="K87" s="1"/>
      <c r="L87" s="1"/>
      <c r="M87" s="1"/>
      <c r="N87" s="1"/>
      <c r="O87" s="1"/>
      <c r="P87" s="1"/>
      <c r="Q87" s="1"/>
      <c r="R87" s="1"/>
      <c r="S87" s="1"/>
      <c r="T87" s="1"/>
      <c r="U87" s="1"/>
      <c r="V87" s="1"/>
      <c r="W87" s="1"/>
      <c r="X87" s="1"/>
      <c r="Y87" s="1"/>
      <c r="Z87" s="1"/>
    </row>
    <row r="88" spans="1:26" ht="15" customHeight="1">
      <c r="A88" s="1"/>
      <c r="B88" s="415" t="s">
        <v>647</v>
      </c>
      <c r="C88" s="1"/>
      <c r="D88" s="466" t="s">
        <v>648</v>
      </c>
      <c r="E88" s="1"/>
      <c r="F88" s="1"/>
      <c r="G88" s="1"/>
      <c r="H88" s="1"/>
      <c r="I88" s="1"/>
      <c r="J88" s="1"/>
      <c r="K88" s="1"/>
      <c r="L88" s="1"/>
      <c r="M88" s="1"/>
      <c r="N88" s="1"/>
      <c r="O88" s="1"/>
      <c r="P88" s="1"/>
      <c r="Q88" s="1"/>
      <c r="R88" s="1"/>
      <c r="S88" s="1"/>
      <c r="T88" s="1"/>
      <c r="U88" s="1"/>
      <c r="V88" s="1"/>
      <c r="W88" s="1"/>
      <c r="X88" s="1"/>
      <c r="Y88" s="1"/>
      <c r="Z88" s="1"/>
    </row>
    <row r="89" spans="1:26" ht="15" customHeight="1">
      <c r="A89" s="1"/>
      <c r="B89" s="415" t="s">
        <v>649</v>
      </c>
      <c r="C89" s="1"/>
      <c r="D89" s="466" t="s">
        <v>390</v>
      </c>
      <c r="E89" s="1"/>
      <c r="F89" s="1"/>
      <c r="G89" s="1"/>
      <c r="H89" s="1"/>
      <c r="I89" s="1"/>
      <c r="J89" s="1"/>
      <c r="K89" s="1"/>
      <c r="L89" s="1"/>
      <c r="M89" s="1"/>
      <c r="N89" s="1"/>
      <c r="O89" s="1"/>
      <c r="P89" s="1"/>
      <c r="Q89" s="1"/>
      <c r="R89" s="1"/>
      <c r="S89" s="1"/>
      <c r="T89" s="1"/>
      <c r="U89" s="1"/>
      <c r="V89" s="1"/>
      <c r="W89" s="1"/>
      <c r="X89" s="1"/>
      <c r="Y89" s="1"/>
      <c r="Z89" s="1"/>
    </row>
    <row r="90" spans="1:26" ht="15" customHeight="1">
      <c r="A90" s="1"/>
      <c r="B90" s="415" t="s">
        <v>650</v>
      </c>
      <c r="C90" s="1"/>
      <c r="D90" s="495" t="s">
        <v>268</v>
      </c>
      <c r="E90" s="1"/>
      <c r="F90" s="1"/>
      <c r="G90" s="1"/>
      <c r="H90" s="1"/>
      <c r="I90" s="1"/>
      <c r="J90" s="1"/>
      <c r="K90" s="1"/>
      <c r="L90" s="1"/>
      <c r="M90" s="1"/>
      <c r="N90" s="1"/>
      <c r="O90" s="1"/>
      <c r="P90" s="1"/>
      <c r="Q90" s="1"/>
      <c r="R90" s="1"/>
      <c r="S90" s="1"/>
      <c r="T90" s="1"/>
      <c r="U90" s="1"/>
      <c r="V90" s="1"/>
      <c r="W90" s="1"/>
      <c r="X90" s="1"/>
      <c r="Y90" s="1"/>
      <c r="Z90" s="1"/>
    </row>
    <row r="91" spans="1:26" ht="15" customHeight="1">
      <c r="A91" s="1"/>
      <c r="B91" s="415" t="s">
        <v>651</v>
      </c>
      <c r="C91" s="1"/>
      <c r="D91" s="495" t="s">
        <v>277</v>
      </c>
      <c r="E91" s="1"/>
      <c r="F91" s="457" t="s">
        <v>652</v>
      </c>
      <c r="G91" s="1"/>
      <c r="H91" s="1"/>
      <c r="I91" s="1"/>
      <c r="J91" s="1"/>
      <c r="K91" s="1"/>
      <c r="L91" s="1"/>
      <c r="M91" s="1"/>
      <c r="N91" s="1"/>
      <c r="O91" s="1"/>
      <c r="P91" s="1"/>
      <c r="Q91" s="1"/>
      <c r="R91" s="1"/>
      <c r="S91" s="1"/>
      <c r="T91" s="1"/>
      <c r="U91" s="1"/>
      <c r="V91" s="1"/>
      <c r="W91" s="1"/>
      <c r="X91" s="1"/>
      <c r="Y91" s="1"/>
      <c r="Z91" s="1"/>
    </row>
    <row r="92" spans="1:26" ht="15" customHeight="1">
      <c r="A92" s="1"/>
      <c r="B92" s="415" t="s">
        <v>653</v>
      </c>
      <c r="C92" s="1"/>
      <c r="D92" s="495" t="s">
        <v>181</v>
      </c>
      <c r="E92" s="1"/>
      <c r="F92" s="261" t="s">
        <v>448</v>
      </c>
      <c r="G92" s="1"/>
      <c r="H92" s="1"/>
      <c r="I92" s="1"/>
      <c r="J92" s="1"/>
      <c r="K92" s="1"/>
      <c r="L92" s="1"/>
      <c r="M92" s="1"/>
      <c r="N92" s="1"/>
      <c r="O92" s="1"/>
      <c r="P92" s="1"/>
      <c r="Q92" s="1"/>
      <c r="R92" s="1"/>
      <c r="S92" s="1"/>
      <c r="T92" s="1"/>
      <c r="U92" s="1"/>
      <c r="V92" s="1"/>
      <c r="W92" s="1"/>
      <c r="X92" s="1"/>
      <c r="Y92" s="1"/>
      <c r="Z92" s="1"/>
    </row>
    <row r="93" spans="1:26" ht="15" customHeight="1">
      <c r="A93" s="1"/>
      <c r="B93" s="415" t="s">
        <v>654</v>
      </c>
      <c r="C93" s="1"/>
      <c r="D93" s="495" t="s">
        <v>655</v>
      </c>
      <c r="E93" s="1"/>
      <c r="F93" s="222" t="s">
        <v>452</v>
      </c>
      <c r="G93" s="1"/>
      <c r="H93" s="1"/>
      <c r="I93" s="1"/>
      <c r="J93" s="1"/>
      <c r="K93" s="1"/>
      <c r="L93" s="1"/>
      <c r="M93" s="1"/>
      <c r="N93" s="1"/>
      <c r="O93" s="1"/>
      <c r="P93" s="1"/>
      <c r="Q93" s="1"/>
      <c r="R93" s="1"/>
      <c r="S93" s="1"/>
      <c r="T93" s="1"/>
      <c r="U93" s="1"/>
      <c r="V93" s="1"/>
      <c r="W93" s="1"/>
      <c r="X93" s="1"/>
      <c r="Y93" s="1"/>
      <c r="Z93" s="1"/>
    </row>
    <row r="94" spans="1:26" ht="15" customHeight="1">
      <c r="A94" s="1"/>
      <c r="B94" s="415" t="s">
        <v>656</v>
      </c>
      <c r="C94" s="1"/>
      <c r="D94" s="466" t="s">
        <v>194</v>
      </c>
      <c r="E94" s="1"/>
      <c r="F94" s="1"/>
      <c r="G94" s="1"/>
      <c r="H94" s="1"/>
      <c r="I94" s="1"/>
      <c r="J94" s="1"/>
      <c r="K94" s="1"/>
      <c r="L94" s="1"/>
      <c r="M94" s="1"/>
      <c r="N94" s="1"/>
      <c r="O94" s="1"/>
      <c r="P94" s="1"/>
      <c r="Q94" s="1"/>
      <c r="R94" s="1"/>
      <c r="S94" s="1"/>
      <c r="T94" s="1"/>
      <c r="U94" s="1"/>
      <c r="V94" s="1"/>
      <c r="W94" s="1"/>
      <c r="X94" s="1"/>
      <c r="Y94" s="1"/>
      <c r="Z94" s="1"/>
    </row>
    <row r="95" spans="1:26" ht="15" customHeight="1">
      <c r="A95" s="1"/>
      <c r="B95" s="415" t="s">
        <v>657</v>
      </c>
      <c r="C95" s="1"/>
      <c r="D95" s="495" t="s">
        <v>179</v>
      </c>
      <c r="E95" s="1"/>
      <c r="F95" s="1"/>
      <c r="G95" s="1"/>
      <c r="H95" s="1"/>
      <c r="I95" s="1"/>
      <c r="J95" s="1"/>
      <c r="K95" s="1"/>
      <c r="L95" s="1"/>
      <c r="M95" s="1"/>
      <c r="N95" s="1"/>
      <c r="O95" s="1"/>
      <c r="P95" s="1"/>
      <c r="Q95" s="1"/>
      <c r="R95" s="1"/>
      <c r="S95" s="1"/>
      <c r="T95" s="1"/>
      <c r="U95" s="1"/>
      <c r="V95" s="1"/>
      <c r="W95" s="1"/>
      <c r="X95" s="1"/>
      <c r="Y95" s="1"/>
      <c r="Z95" s="1"/>
    </row>
    <row r="96" spans="1:26" ht="15" customHeight="1">
      <c r="A96" s="1"/>
      <c r="B96" s="415" t="s">
        <v>658</v>
      </c>
      <c r="C96" s="1"/>
      <c r="D96" s="495" t="s">
        <v>184</v>
      </c>
      <c r="E96" s="1"/>
      <c r="F96" s="1"/>
      <c r="G96" s="1"/>
      <c r="H96" s="1"/>
      <c r="I96" s="1"/>
      <c r="J96" s="1"/>
      <c r="K96" s="1"/>
      <c r="L96" s="1"/>
      <c r="M96" s="1"/>
      <c r="N96" s="1"/>
      <c r="O96" s="1"/>
      <c r="P96" s="1"/>
      <c r="Q96" s="1"/>
      <c r="R96" s="1"/>
      <c r="S96" s="1"/>
      <c r="T96" s="1"/>
      <c r="U96" s="1"/>
      <c r="V96" s="1"/>
      <c r="W96" s="1"/>
      <c r="X96" s="1"/>
      <c r="Y96" s="1"/>
      <c r="Z96" s="1"/>
    </row>
    <row r="97" spans="1:26" ht="15" customHeight="1">
      <c r="A97" s="1"/>
      <c r="B97" s="415" t="s">
        <v>659</v>
      </c>
      <c r="C97" s="1"/>
      <c r="D97" s="466" t="s">
        <v>660</v>
      </c>
      <c r="E97" s="1"/>
      <c r="F97" s="1"/>
      <c r="G97" s="1"/>
      <c r="H97" s="1"/>
      <c r="I97" s="1"/>
      <c r="J97" s="1"/>
      <c r="K97" s="1"/>
      <c r="L97" s="1"/>
      <c r="M97" s="1"/>
      <c r="N97" s="1"/>
      <c r="O97" s="1"/>
      <c r="P97" s="1"/>
      <c r="Q97" s="1"/>
      <c r="R97" s="1"/>
      <c r="S97" s="1"/>
      <c r="T97" s="1"/>
      <c r="U97" s="1"/>
      <c r="V97" s="1"/>
      <c r="W97" s="1"/>
      <c r="X97" s="1"/>
      <c r="Y97" s="1"/>
      <c r="Z97" s="1"/>
    </row>
    <row r="98" spans="1:26" ht="15" customHeight="1">
      <c r="A98" s="1"/>
      <c r="B98" s="415" t="s">
        <v>661</v>
      </c>
      <c r="C98" s="1"/>
      <c r="D98" s="495" t="s">
        <v>186</v>
      </c>
      <c r="E98" s="1"/>
      <c r="F98" s="1"/>
      <c r="G98" s="1"/>
      <c r="H98" s="1"/>
      <c r="I98" s="1"/>
      <c r="J98" s="1"/>
      <c r="K98" s="1"/>
      <c r="L98" s="1"/>
      <c r="M98" s="1"/>
      <c r="N98" s="1"/>
      <c r="O98" s="1"/>
      <c r="P98" s="1"/>
      <c r="Q98" s="1"/>
      <c r="R98" s="1"/>
      <c r="S98" s="1"/>
      <c r="T98" s="1"/>
      <c r="U98" s="1"/>
      <c r="V98" s="1"/>
      <c r="W98" s="1"/>
      <c r="X98" s="1"/>
      <c r="Y98" s="1"/>
      <c r="Z98" s="1"/>
    </row>
    <row r="99" spans="1:26" ht="15" customHeight="1">
      <c r="A99" s="1"/>
      <c r="B99" s="415" t="s">
        <v>662</v>
      </c>
      <c r="C99" s="1"/>
      <c r="D99" s="495" t="s">
        <v>187</v>
      </c>
      <c r="E99" s="1"/>
      <c r="F99" s="1"/>
      <c r="G99" s="1"/>
      <c r="H99" s="1"/>
      <c r="I99" s="1"/>
      <c r="J99" s="1"/>
      <c r="K99" s="1"/>
      <c r="L99" s="1"/>
      <c r="M99" s="1"/>
      <c r="N99" s="1"/>
      <c r="O99" s="1"/>
      <c r="P99" s="1"/>
      <c r="Q99" s="1"/>
      <c r="R99" s="1"/>
      <c r="S99" s="1"/>
      <c r="T99" s="1"/>
      <c r="U99" s="1"/>
      <c r="V99" s="1"/>
      <c r="W99" s="1"/>
      <c r="X99" s="1"/>
      <c r="Y99" s="1"/>
      <c r="Z99" s="1"/>
    </row>
    <row r="100" spans="1:26" ht="15" customHeight="1">
      <c r="A100" s="1"/>
      <c r="B100" s="415" t="s">
        <v>663</v>
      </c>
      <c r="C100" s="1"/>
      <c r="D100" s="466" t="s">
        <v>216</v>
      </c>
      <c r="E100" s="1"/>
      <c r="F100" s="1"/>
      <c r="G100" s="1"/>
      <c r="H100" s="1"/>
      <c r="I100" s="1"/>
      <c r="J100" s="1"/>
      <c r="K100" s="1"/>
      <c r="L100" s="1"/>
      <c r="M100" s="1"/>
      <c r="N100" s="1"/>
      <c r="O100" s="1"/>
      <c r="P100" s="1"/>
      <c r="Q100" s="1"/>
      <c r="R100" s="1"/>
      <c r="S100" s="1"/>
      <c r="T100" s="1"/>
      <c r="U100" s="1"/>
      <c r="V100" s="1"/>
      <c r="W100" s="1"/>
      <c r="X100" s="1"/>
      <c r="Y100" s="1"/>
      <c r="Z100" s="1"/>
    </row>
    <row r="101" spans="1:26" ht="15" customHeight="1">
      <c r="A101" s="1"/>
      <c r="B101" s="415" t="s">
        <v>664</v>
      </c>
      <c r="C101" s="1"/>
      <c r="D101" s="466" t="s">
        <v>214</v>
      </c>
      <c r="E101" s="1"/>
      <c r="F101" s="1"/>
      <c r="G101" s="1"/>
      <c r="H101" s="1"/>
      <c r="I101" s="1"/>
      <c r="J101" s="1"/>
      <c r="K101" s="1"/>
      <c r="L101" s="1"/>
      <c r="M101" s="1"/>
      <c r="N101" s="1"/>
      <c r="O101" s="1"/>
      <c r="P101" s="1"/>
      <c r="Q101" s="1"/>
      <c r="R101" s="1"/>
      <c r="S101" s="1"/>
      <c r="T101" s="1"/>
      <c r="U101" s="1"/>
      <c r="V101" s="1"/>
      <c r="W101" s="1"/>
      <c r="X101" s="1"/>
      <c r="Y101" s="1"/>
      <c r="Z101" s="1"/>
    </row>
    <row r="102" spans="1:26" ht="15" customHeight="1">
      <c r="A102" s="1"/>
      <c r="B102" s="415" t="s">
        <v>665</v>
      </c>
      <c r="C102" s="1"/>
      <c r="D102" s="466" t="s">
        <v>215</v>
      </c>
      <c r="E102" s="1"/>
      <c r="F102" s="1"/>
      <c r="G102" s="1"/>
      <c r="H102" s="1"/>
      <c r="I102" s="1"/>
      <c r="J102" s="1"/>
      <c r="K102" s="1"/>
      <c r="L102" s="1"/>
      <c r="M102" s="1"/>
      <c r="N102" s="1"/>
      <c r="O102" s="1"/>
      <c r="P102" s="1"/>
      <c r="Q102" s="1"/>
      <c r="R102" s="1"/>
      <c r="S102" s="1"/>
      <c r="T102" s="1"/>
      <c r="U102" s="1"/>
      <c r="V102" s="1"/>
      <c r="W102" s="1"/>
      <c r="X102" s="1"/>
      <c r="Y102" s="1"/>
      <c r="Z102" s="1"/>
    </row>
    <row r="103" spans="1:26" ht="15" customHeight="1">
      <c r="A103" s="1"/>
      <c r="B103" s="415" t="s">
        <v>666</v>
      </c>
      <c r="C103" s="1"/>
      <c r="D103" s="495" t="s">
        <v>270</v>
      </c>
      <c r="E103" s="1"/>
      <c r="F103" s="1"/>
      <c r="G103" s="1"/>
      <c r="H103" s="1"/>
      <c r="I103" s="1"/>
      <c r="J103" s="1"/>
      <c r="K103" s="1"/>
      <c r="L103" s="1"/>
      <c r="M103" s="1"/>
      <c r="N103" s="1"/>
      <c r="O103" s="1"/>
      <c r="P103" s="1"/>
      <c r="Q103" s="1"/>
      <c r="R103" s="1"/>
      <c r="S103" s="1"/>
      <c r="T103" s="1"/>
      <c r="U103" s="1"/>
      <c r="V103" s="1"/>
      <c r="W103" s="1"/>
      <c r="X103" s="1"/>
      <c r="Y103" s="1"/>
      <c r="Z103" s="1"/>
    </row>
    <row r="104" spans="1:26" ht="15" customHeight="1">
      <c r="A104" s="1"/>
      <c r="B104" s="415" t="s">
        <v>667</v>
      </c>
      <c r="C104" s="1"/>
      <c r="D104" s="495" t="s">
        <v>281</v>
      </c>
      <c r="E104" s="1"/>
      <c r="F104" s="1"/>
      <c r="G104" s="1"/>
      <c r="H104" s="1"/>
      <c r="I104" s="1"/>
      <c r="J104" s="1"/>
      <c r="K104" s="1"/>
      <c r="L104" s="1"/>
      <c r="M104" s="1"/>
      <c r="N104" s="1"/>
      <c r="O104" s="1"/>
      <c r="P104" s="1"/>
      <c r="Q104" s="1"/>
      <c r="R104" s="1"/>
      <c r="S104" s="1"/>
      <c r="T104" s="1"/>
      <c r="U104" s="1"/>
      <c r="V104" s="1"/>
      <c r="W104" s="1"/>
      <c r="X104" s="1"/>
      <c r="Y104" s="1"/>
      <c r="Z104" s="1"/>
    </row>
    <row r="105" spans="1:26" ht="15" customHeight="1">
      <c r="A105" s="1"/>
      <c r="B105" s="415" t="s">
        <v>668</v>
      </c>
      <c r="C105" s="1"/>
      <c r="D105" s="495" t="s">
        <v>283</v>
      </c>
      <c r="E105" s="1"/>
      <c r="F105" s="1"/>
      <c r="G105" s="1"/>
      <c r="H105" s="1"/>
      <c r="I105" s="1"/>
      <c r="J105" s="1"/>
      <c r="K105" s="1"/>
      <c r="L105" s="1"/>
      <c r="M105" s="1"/>
      <c r="N105" s="1"/>
      <c r="O105" s="1"/>
      <c r="P105" s="1"/>
      <c r="Q105" s="1"/>
      <c r="R105" s="1"/>
      <c r="S105" s="1"/>
      <c r="T105" s="1"/>
      <c r="U105" s="1"/>
      <c r="V105" s="1"/>
      <c r="W105" s="1"/>
      <c r="X105" s="1"/>
      <c r="Y105" s="1"/>
      <c r="Z105" s="1"/>
    </row>
    <row r="106" spans="1:26" ht="15" customHeight="1">
      <c r="A106" s="1"/>
      <c r="B106" s="415" t="s">
        <v>669</v>
      </c>
      <c r="C106" s="1"/>
      <c r="D106" s="495" t="s">
        <v>284</v>
      </c>
      <c r="E106" s="1"/>
      <c r="F106" s="1"/>
      <c r="G106" s="1"/>
      <c r="H106" s="1"/>
      <c r="I106" s="1"/>
      <c r="J106" s="1"/>
      <c r="K106" s="1"/>
      <c r="L106" s="1"/>
      <c r="M106" s="1"/>
      <c r="N106" s="1"/>
      <c r="O106" s="1"/>
      <c r="P106" s="1"/>
      <c r="Q106" s="1"/>
      <c r="R106" s="1"/>
      <c r="S106" s="1"/>
      <c r="T106" s="1"/>
      <c r="U106" s="1"/>
      <c r="V106" s="1"/>
      <c r="W106" s="1"/>
      <c r="X106" s="1"/>
      <c r="Y106" s="1"/>
      <c r="Z106" s="1"/>
    </row>
    <row r="107" spans="1:26" ht="15" customHeight="1">
      <c r="A107" s="1"/>
      <c r="B107" s="415" t="s">
        <v>670</v>
      </c>
      <c r="C107" s="1"/>
      <c r="D107" s="495" t="s">
        <v>285</v>
      </c>
      <c r="E107" s="1"/>
      <c r="F107" s="1"/>
      <c r="G107" s="1"/>
      <c r="H107" s="1"/>
      <c r="I107" s="1"/>
      <c r="J107" s="1"/>
      <c r="K107" s="1"/>
      <c r="L107" s="1"/>
      <c r="M107" s="1"/>
      <c r="N107" s="1"/>
      <c r="O107" s="1"/>
      <c r="P107" s="1"/>
      <c r="Q107" s="1"/>
      <c r="R107" s="1"/>
      <c r="S107" s="1"/>
      <c r="T107" s="1"/>
      <c r="U107" s="1"/>
      <c r="V107" s="1"/>
      <c r="W107" s="1"/>
      <c r="X107" s="1"/>
      <c r="Y107" s="1"/>
      <c r="Z107" s="1"/>
    </row>
    <row r="108" spans="1:26" ht="15" customHeight="1">
      <c r="A108" s="1"/>
      <c r="B108" s="415" t="s">
        <v>671</v>
      </c>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 customHeight="1">
      <c r="A109" s="1"/>
      <c r="B109" s="415" t="s">
        <v>672</v>
      </c>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 customHeight="1">
      <c r="A110" s="1"/>
      <c r="B110" s="415" t="s">
        <v>673</v>
      </c>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 customHeight="1">
      <c r="A111" s="1"/>
      <c r="B111" s="415" t="s">
        <v>674</v>
      </c>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 customHeight="1">
      <c r="A112" s="1"/>
      <c r="B112" s="415" t="s">
        <v>675</v>
      </c>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 customHeight="1">
      <c r="A113" s="1"/>
      <c r="B113" s="415" t="s">
        <v>676</v>
      </c>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 customHeight="1">
      <c r="A114" s="1"/>
      <c r="B114" s="415" t="s">
        <v>677</v>
      </c>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 customHeight="1">
      <c r="A115" s="1"/>
      <c r="B115" s="415" t="s">
        <v>678</v>
      </c>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 customHeight="1">
      <c r="A116" s="1"/>
      <c r="B116" s="415" t="s">
        <v>679</v>
      </c>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 customHeight="1">
      <c r="A117" s="1"/>
      <c r="B117" s="415" t="s">
        <v>680</v>
      </c>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 customHeight="1">
      <c r="A118" s="1"/>
      <c r="B118" s="415" t="s">
        <v>681</v>
      </c>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 customHeight="1">
      <c r="A119" s="1"/>
      <c r="B119" s="415" t="s">
        <v>682</v>
      </c>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 customHeight="1">
      <c r="A120" s="1"/>
      <c r="B120" s="415" t="s">
        <v>683</v>
      </c>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 customHeight="1">
      <c r="A121" s="1"/>
      <c r="B121" s="415" t="s">
        <v>684</v>
      </c>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 customHeight="1">
      <c r="A122" s="1"/>
      <c r="B122" s="415" t="s">
        <v>685</v>
      </c>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 customHeight="1">
      <c r="A123" s="1"/>
      <c r="B123" s="415" t="s">
        <v>513</v>
      </c>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 customHeight="1">
      <c r="A124" s="1"/>
      <c r="B124" s="415" t="s">
        <v>686</v>
      </c>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 customHeight="1">
      <c r="A125" s="1"/>
      <c r="B125" s="415" t="s">
        <v>687</v>
      </c>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 customHeight="1">
      <c r="A126" s="1"/>
      <c r="B126" s="415" t="s">
        <v>688</v>
      </c>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 customHeight="1">
      <c r="A127" s="1"/>
      <c r="B127" s="415" t="s">
        <v>689</v>
      </c>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 customHeight="1">
      <c r="A128" s="1"/>
      <c r="B128" s="415" t="s">
        <v>690</v>
      </c>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 customHeight="1">
      <c r="A129" s="1"/>
      <c r="B129" s="415" t="s">
        <v>691</v>
      </c>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 customHeight="1">
      <c r="A130" s="1"/>
      <c r="B130" s="415" t="s">
        <v>692</v>
      </c>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 customHeight="1">
      <c r="A131" s="1"/>
      <c r="B131" s="415" t="s">
        <v>693</v>
      </c>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 customHeight="1">
      <c r="A132" s="1"/>
      <c r="B132" s="415" t="s">
        <v>694</v>
      </c>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 customHeight="1">
      <c r="A133" s="1"/>
      <c r="B133" s="415" t="s">
        <v>695</v>
      </c>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 customHeight="1">
      <c r="A134" s="1"/>
      <c r="B134" s="415" t="s">
        <v>696</v>
      </c>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 customHeight="1">
      <c r="A135" s="1"/>
      <c r="B135" s="415" t="s">
        <v>697</v>
      </c>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 customHeight="1">
      <c r="A136" s="1"/>
      <c r="B136" s="415" t="s">
        <v>698</v>
      </c>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 customHeight="1">
      <c r="A137" s="1"/>
      <c r="B137" s="415" t="s">
        <v>699</v>
      </c>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 customHeight="1">
      <c r="A138" s="1"/>
      <c r="B138" s="415" t="s">
        <v>700</v>
      </c>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 customHeight="1">
      <c r="A139" s="1"/>
      <c r="B139" s="415" t="s">
        <v>701</v>
      </c>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 customHeight="1">
      <c r="A140" s="1"/>
      <c r="B140" s="415" t="s">
        <v>702</v>
      </c>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 customHeight="1">
      <c r="A141" s="1"/>
      <c r="B141" s="415" t="s">
        <v>703</v>
      </c>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 customHeight="1">
      <c r="A142" s="1"/>
      <c r="B142" s="415" t="s">
        <v>704</v>
      </c>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 customHeight="1">
      <c r="A143" s="1"/>
      <c r="B143" s="415" t="s">
        <v>705</v>
      </c>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 customHeight="1">
      <c r="A144" s="1"/>
      <c r="B144" s="415" t="s">
        <v>706</v>
      </c>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 customHeight="1">
      <c r="A145" s="1"/>
      <c r="B145" s="415" t="s">
        <v>707</v>
      </c>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 customHeight="1">
      <c r="A146" s="1"/>
      <c r="B146" s="415" t="s">
        <v>708</v>
      </c>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 customHeight="1">
      <c r="A147" s="1"/>
      <c r="B147" s="415" t="s">
        <v>709</v>
      </c>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 customHeight="1">
      <c r="A148" s="1"/>
      <c r="B148" s="415" t="s">
        <v>710</v>
      </c>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 customHeight="1">
      <c r="A149" s="1"/>
      <c r="B149" s="415" t="s">
        <v>711</v>
      </c>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 customHeight="1">
      <c r="A150" s="1"/>
      <c r="B150" s="415" t="s">
        <v>712</v>
      </c>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 customHeight="1">
      <c r="A151" s="1"/>
      <c r="B151" s="415" t="s">
        <v>713</v>
      </c>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 customHeight="1">
      <c r="A152" s="1"/>
      <c r="B152" s="415" t="s">
        <v>714</v>
      </c>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 customHeight="1">
      <c r="A153" s="1"/>
      <c r="B153" s="415" t="s">
        <v>715</v>
      </c>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 customHeight="1">
      <c r="A154" s="1"/>
      <c r="B154" s="415" t="s">
        <v>716</v>
      </c>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 customHeight="1">
      <c r="A155" s="1"/>
      <c r="B155" s="415" t="s">
        <v>717</v>
      </c>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 customHeight="1">
      <c r="A156" s="1"/>
      <c r="B156" s="415" t="s">
        <v>718</v>
      </c>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 customHeight="1">
      <c r="A157" s="1"/>
      <c r="B157" s="415" t="s">
        <v>719</v>
      </c>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 customHeight="1">
      <c r="A158" s="1"/>
      <c r="B158" s="415" t="s">
        <v>720</v>
      </c>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 customHeight="1">
      <c r="A159" s="1"/>
      <c r="B159" s="415" t="s">
        <v>721</v>
      </c>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 customHeight="1">
      <c r="A160" s="1"/>
      <c r="B160" s="415" t="s">
        <v>722</v>
      </c>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 customHeight="1">
      <c r="A161" s="1"/>
      <c r="B161" s="415" t="s">
        <v>723</v>
      </c>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 customHeight="1">
      <c r="A162" s="1"/>
      <c r="B162" s="415" t="s">
        <v>724</v>
      </c>
      <c r="C162" s="1"/>
      <c r="D162" s="10"/>
      <c r="E162" s="1"/>
      <c r="F162" s="1"/>
      <c r="G162" s="1"/>
      <c r="H162" s="1"/>
      <c r="I162" s="1"/>
      <c r="J162" s="1"/>
      <c r="K162" s="1"/>
      <c r="L162" s="1"/>
      <c r="M162" s="1"/>
      <c r="N162" s="1"/>
      <c r="O162" s="1"/>
      <c r="P162" s="1"/>
      <c r="Q162" s="1"/>
      <c r="R162" s="1"/>
      <c r="S162" s="1"/>
      <c r="T162" s="1"/>
      <c r="U162" s="1"/>
      <c r="V162" s="1"/>
      <c r="W162" s="1"/>
      <c r="X162" s="1"/>
      <c r="Y162" s="1"/>
      <c r="Z162" s="1"/>
    </row>
    <row r="163" spans="1:26" ht="15" customHeight="1">
      <c r="A163" s="1"/>
      <c r="B163" s="415" t="s">
        <v>725</v>
      </c>
      <c r="C163" s="1"/>
      <c r="D163" s="10"/>
      <c r="E163" s="1"/>
      <c r="F163" s="1"/>
      <c r="G163" s="1"/>
      <c r="H163" s="1"/>
      <c r="I163" s="1"/>
      <c r="J163" s="1"/>
      <c r="K163" s="1"/>
      <c r="L163" s="1"/>
      <c r="M163" s="1"/>
      <c r="N163" s="1"/>
      <c r="O163" s="1"/>
      <c r="P163" s="1"/>
      <c r="Q163" s="1"/>
      <c r="R163" s="1"/>
      <c r="S163" s="1"/>
      <c r="T163" s="1"/>
      <c r="U163" s="1"/>
      <c r="V163" s="1"/>
      <c r="W163" s="1"/>
      <c r="X163" s="1"/>
      <c r="Y163" s="1"/>
      <c r="Z163" s="1"/>
    </row>
    <row r="164" spans="1:26" ht="15" customHeight="1">
      <c r="A164" s="1"/>
      <c r="B164" s="415" t="s">
        <v>726</v>
      </c>
      <c r="C164" s="1"/>
      <c r="D164" s="10"/>
      <c r="E164" s="1"/>
      <c r="F164" s="1"/>
      <c r="G164" s="1"/>
      <c r="H164" s="1"/>
      <c r="I164" s="1"/>
      <c r="J164" s="1"/>
      <c r="K164" s="1"/>
      <c r="L164" s="1"/>
      <c r="M164" s="1"/>
      <c r="N164" s="1"/>
      <c r="O164" s="1"/>
      <c r="P164" s="1"/>
      <c r="Q164" s="1"/>
      <c r="R164" s="1"/>
      <c r="S164" s="1"/>
      <c r="T164" s="1"/>
      <c r="U164" s="1"/>
      <c r="V164" s="1"/>
      <c r="W164" s="1"/>
      <c r="X164" s="1"/>
      <c r="Y164" s="1"/>
      <c r="Z164" s="1"/>
    </row>
    <row r="165" spans="1:26" ht="15" customHeight="1">
      <c r="A165" s="1"/>
      <c r="B165" s="415" t="s">
        <v>727</v>
      </c>
      <c r="C165" s="1"/>
      <c r="D165" s="10"/>
      <c r="E165" s="1"/>
      <c r="F165" s="1"/>
      <c r="G165" s="1"/>
      <c r="H165" s="1"/>
      <c r="I165" s="1"/>
      <c r="J165" s="1"/>
      <c r="K165" s="1"/>
      <c r="L165" s="1"/>
      <c r="M165" s="1"/>
      <c r="N165" s="1"/>
      <c r="O165" s="1"/>
      <c r="P165" s="1"/>
      <c r="Q165" s="1"/>
      <c r="R165" s="1"/>
      <c r="S165" s="1"/>
      <c r="T165" s="1"/>
      <c r="U165" s="1"/>
      <c r="V165" s="1"/>
      <c r="W165" s="1"/>
      <c r="X165" s="1"/>
      <c r="Y165" s="1"/>
      <c r="Z165" s="1"/>
    </row>
    <row r="166" spans="1:26" ht="15" customHeight="1">
      <c r="A166" s="1"/>
      <c r="B166" s="415" t="s">
        <v>728</v>
      </c>
      <c r="C166" s="1"/>
      <c r="D166" s="10"/>
      <c r="E166" s="1"/>
      <c r="F166" s="1"/>
      <c r="G166" s="1"/>
      <c r="H166" s="1"/>
      <c r="I166" s="1"/>
      <c r="J166" s="1"/>
      <c r="K166" s="1"/>
      <c r="L166" s="1"/>
      <c r="M166" s="1"/>
      <c r="N166" s="1"/>
      <c r="O166" s="1"/>
      <c r="P166" s="1"/>
      <c r="Q166" s="1"/>
      <c r="R166" s="1"/>
      <c r="S166" s="1"/>
      <c r="T166" s="1"/>
      <c r="U166" s="1"/>
      <c r="V166" s="1"/>
      <c r="W166" s="1"/>
      <c r="X166" s="1"/>
      <c r="Y166" s="1"/>
      <c r="Z166" s="1"/>
    </row>
    <row r="167" spans="1:26" ht="15" customHeight="1">
      <c r="A167" s="1"/>
      <c r="B167" s="415" t="s">
        <v>729</v>
      </c>
      <c r="C167" s="1"/>
      <c r="D167" s="10"/>
      <c r="E167" s="1"/>
      <c r="F167" s="1"/>
      <c r="G167" s="1"/>
      <c r="H167" s="1"/>
      <c r="I167" s="1"/>
      <c r="J167" s="1"/>
      <c r="K167" s="1"/>
      <c r="L167" s="1"/>
      <c r="M167" s="1"/>
      <c r="N167" s="1"/>
      <c r="O167" s="1"/>
      <c r="P167" s="1"/>
      <c r="Q167" s="1"/>
      <c r="R167" s="1"/>
      <c r="S167" s="1"/>
      <c r="T167" s="1"/>
      <c r="U167" s="1"/>
      <c r="V167" s="1"/>
      <c r="W167" s="1"/>
      <c r="X167" s="1"/>
      <c r="Y167" s="1"/>
      <c r="Z167" s="1"/>
    </row>
    <row r="168" spans="1:26" ht="15" customHeight="1">
      <c r="A168" s="1"/>
      <c r="B168" s="415" t="s">
        <v>730</v>
      </c>
      <c r="C168" s="1"/>
      <c r="D168" s="10"/>
      <c r="E168" s="1"/>
      <c r="F168" s="1"/>
      <c r="G168" s="1"/>
      <c r="H168" s="1"/>
      <c r="I168" s="1"/>
      <c r="J168" s="1"/>
      <c r="K168" s="1"/>
      <c r="L168" s="1"/>
      <c r="M168" s="1"/>
      <c r="N168" s="1"/>
      <c r="O168" s="1"/>
      <c r="P168" s="1"/>
      <c r="Q168" s="1"/>
      <c r="R168" s="1"/>
      <c r="S168" s="1"/>
      <c r="T168" s="1"/>
      <c r="U168" s="1"/>
      <c r="V168" s="1"/>
      <c r="W168" s="1"/>
      <c r="X168" s="1"/>
      <c r="Y168" s="1"/>
      <c r="Z168" s="1"/>
    </row>
    <row r="169" spans="1:26" ht="15" customHeight="1">
      <c r="A169" s="1"/>
      <c r="B169" s="415" t="s">
        <v>731</v>
      </c>
      <c r="C169" s="1"/>
      <c r="D169" s="10"/>
      <c r="E169" s="1"/>
      <c r="F169" s="1"/>
      <c r="G169" s="1"/>
      <c r="H169" s="1"/>
      <c r="I169" s="1"/>
      <c r="J169" s="1"/>
      <c r="K169" s="1"/>
      <c r="L169" s="1"/>
      <c r="M169" s="1"/>
      <c r="N169" s="1"/>
      <c r="O169" s="1"/>
      <c r="P169" s="1"/>
      <c r="Q169" s="1"/>
      <c r="R169" s="1"/>
      <c r="S169" s="1"/>
      <c r="T169" s="1"/>
      <c r="U169" s="1"/>
      <c r="V169" s="1"/>
      <c r="W169" s="1"/>
      <c r="X169" s="1"/>
      <c r="Y169" s="1"/>
      <c r="Z169" s="1"/>
    </row>
    <row r="170" spans="1:26" ht="15" customHeight="1">
      <c r="A170" s="1"/>
      <c r="B170" s="415" t="s">
        <v>732</v>
      </c>
      <c r="C170" s="1"/>
      <c r="D170" s="10"/>
      <c r="E170" s="1"/>
      <c r="F170" s="1"/>
      <c r="G170" s="1"/>
      <c r="H170" s="1"/>
      <c r="I170" s="1"/>
      <c r="J170" s="1"/>
      <c r="K170" s="1"/>
      <c r="L170" s="1"/>
      <c r="M170" s="1"/>
      <c r="N170" s="1"/>
      <c r="O170" s="1"/>
      <c r="P170" s="1"/>
      <c r="Q170" s="1"/>
      <c r="R170" s="1"/>
      <c r="S170" s="1"/>
      <c r="T170" s="1"/>
      <c r="U170" s="1"/>
      <c r="V170" s="1"/>
      <c r="W170" s="1"/>
      <c r="X170" s="1"/>
      <c r="Y170" s="1"/>
      <c r="Z170" s="1"/>
    </row>
    <row r="171" spans="1:26" ht="15" customHeight="1">
      <c r="A171" s="1"/>
      <c r="B171" s="415" t="s">
        <v>733</v>
      </c>
      <c r="C171" s="1"/>
      <c r="D171" s="10"/>
      <c r="E171" s="1"/>
      <c r="F171" s="1"/>
      <c r="G171" s="1"/>
      <c r="H171" s="1"/>
      <c r="I171" s="1"/>
      <c r="J171" s="1"/>
      <c r="K171" s="1"/>
      <c r="L171" s="1"/>
      <c r="M171" s="1"/>
      <c r="N171" s="1"/>
      <c r="O171" s="1"/>
      <c r="P171" s="1"/>
      <c r="Q171" s="1"/>
      <c r="R171" s="1"/>
      <c r="S171" s="1"/>
      <c r="T171" s="1"/>
      <c r="U171" s="1"/>
      <c r="V171" s="1"/>
      <c r="W171" s="1"/>
      <c r="X171" s="1"/>
      <c r="Y171" s="1"/>
      <c r="Z171" s="1"/>
    </row>
    <row r="172" spans="1:26" ht="15" customHeight="1">
      <c r="A172" s="1"/>
      <c r="B172" s="415" t="s">
        <v>734</v>
      </c>
      <c r="C172" s="1"/>
      <c r="D172" s="10"/>
      <c r="E172" s="1"/>
      <c r="F172" s="1"/>
      <c r="G172" s="1"/>
      <c r="H172" s="1"/>
      <c r="I172" s="1"/>
      <c r="J172" s="1"/>
      <c r="K172" s="1"/>
      <c r="L172" s="1"/>
      <c r="M172" s="1"/>
      <c r="N172" s="1"/>
      <c r="O172" s="1"/>
      <c r="P172" s="1"/>
      <c r="Q172" s="1"/>
      <c r="R172" s="1"/>
      <c r="S172" s="1"/>
      <c r="T172" s="1"/>
      <c r="U172" s="1"/>
      <c r="V172" s="1"/>
      <c r="W172" s="1"/>
      <c r="X172" s="1"/>
      <c r="Y172" s="1"/>
      <c r="Z172" s="1"/>
    </row>
    <row r="173" spans="1:26" ht="15" customHeight="1">
      <c r="A173" s="1"/>
      <c r="B173" s="415" t="s">
        <v>735</v>
      </c>
      <c r="C173" s="1"/>
      <c r="D173" s="10"/>
      <c r="E173" s="1"/>
      <c r="F173" s="1"/>
      <c r="G173" s="1"/>
      <c r="H173" s="1"/>
      <c r="I173" s="1"/>
      <c r="J173" s="1"/>
      <c r="K173" s="1"/>
      <c r="L173" s="1"/>
      <c r="M173" s="1"/>
      <c r="N173" s="1"/>
      <c r="O173" s="1"/>
      <c r="P173" s="1"/>
      <c r="Q173" s="1"/>
      <c r="R173" s="1"/>
      <c r="S173" s="1"/>
      <c r="T173" s="1"/>
      <c r="U173" s="1"/>
      <c r="V173" s="1"/>
      <c r="W173" s="1"/>
      <c r="X173" s="1"/>
      <c r="Y173" s="1"/>
      <c r="Z173" s="1"/>
    </row>
    <row r="174" spans="1:26" ht="15" customHeight="1">
      <c r="A174" s="1"/>
      <c r="B174" s="415" t="s">
        <v>736</v>
      </c>
      <c r="C174" s="1"/>
      <c r="D174" s="10"/>
      <c r="E174" s="1"/>
      <c r="F174" s="1"/>
      <c r="G174" s="1"/>
      <c r="H174" s="1"/>
      <c r="I174" s="1"/>
      <c r="J174" s="1"/>
      <c r="K174" s="1"/>
      <c r="L174" s="1"/>
      <c r="M174" s="1"/>
      <c r="N174" s="1"/>
      <c r="O174" s="1"/>
      <c r="P174" s="1"/>
      <c r="Q174" s="1"/>
      <c r="R174" s="1"/>
      <c r="S174" s="1"/>
      <c r="T174" s="1"/>
      <c r="U174" s="1"/>
      <c r="V174" s="1"/>
      <c r="W174" s="1"/>
      <c r="X174" s="1"/>
      <c r="Y174" s="1"/>
      <c r="Z174" s="1"/>
    </row>
    <row r="175" spans="1:26" ht="15" customHeight="1">
      <c r="A175" s="1"/>
      <c r="B175" s="415" t="s">
        <v>737</v>
      </c>
      <c r="C175" s="1"/>
      <c r="D175" s="10"/>
      <c r="E175" s="1"/>
      <c r="F175" s="1"/>
      <c r="G175" s="1"/>
      <c r="H175" s="1"/>
      <c r="I175" s="1"/>
      <c r="J175" s="1"/>
      <c r="K175" s="1"/>
      <c r="L175" s="1"/>
      <c r="M175" s="1"/>
      <c r="N175" s="1"/>
      <c r="O175" s="1"/>
      <c r="P175" s="1"/>
      <c r="Q175" s="1"/>
      <c r="R175" s="1"/>
      <c r="S175" s="1"/>
      <c r="T175" s="1"/>
      <c r="U175" s="1"/>
      <c r="V175" s="1"/>
      <c r="W175" s="1"/>
      <c r="X175" s="1"/>
      <c r="Y175" s="1"/>
      <c r="Z175" s="1"/>
    </row>
    <row r="176" spans="1:26" ht="15" customHeight="1">
      <c r="A176" s="1"/>
      <c r="B176" s="415" t="s">
        <v>738</v>
      </c>
      <c r="C176" s="1"/>
      <c r="D176" s="10"/>
      <c r="E176" s="1"/>
      <c r="F176" s="1"/>
      <c r="G176" s="1"/>
      <c r="H176" s="1"/>
      <c r="I176" s="1"/>
      <c r="J176" s="1"/>
      <c r="K176" s="1"/>
      <c r="L176" s="1"/>
      <c r="M176" s="1"/>
      <c r="N176" s="1"/>
      <c r="O176" s="1"/>
      <c r="P176" s="1"/>
      <c r="Q176" s="1"/>
      <c r="R176" s="1"/>
      <c r="S176" s="1"/>
      <c r="T176" s="1"/>
      <c r="U176" s="1"/>
      <c r="V176" s="1"/>
      <c r="W176" s="1"/>
      <c r="X176" s="1"/>
      <c r="Y176" s="1"/>
      <c r="Z176" s="1"/>
    </row>
    <row r="177" spans="1:26" ht="15" customHeight="1">
      <c r="A177" s="1"/>
      <c r="B177" s="415" t="s">
        <v>739</v>
      </c>
      <c r="C177" s="1"/>
      <c r="D177" s="10"/>
      <c r="E177" s="1"/>
      <c r="F177" s="1"/>
      <c r="G177" s="1"/>
      <c r="H177" s="1"/>
      <c r="I177" s="1"/>
      <c r="J177" s="1"/>
      <c r="K177" s="1"/>
      <c r="L177" s="1"/>
      <c r="M177" s="1"/>
      <c r="N177" s="1"/>
      <c r="O177" s="1"/>
      <c r="P177" s="1"/>
      <c r="Q177" s="1"/>
      <c r="R177" s="1"/>
      <c r="S177" s="1"/>
      <c r="T177" s="1"/>
      <c r="U177" s="1"/>
      <c r="V177" s="1"/>
      <c r="W177" s="1"/>
      <c r="X177" s="1"/>
      <c r="Y177" s="1"/>
      <c r="Z177" s="1"/>
    </row>
    <row r="178" spans="1:26" ht="15" customHeight="1">
      <c r="A178" s="1"/>
      <c r="B178" s="415" t="s">
        <v>740</v>
      </c>
      <c r="C178" s="1"/>
      <c r="D178" s="10"/>
      <c r="E178" s="1"/>
      <c r="F178" s="1"/>
      <c r="G178" s="1"/>
      <c r="H178" s="1"/>
      <c r="I178" s="1"/>
      <c r="J178" s="1"/>
      <c r="K178" s="1"/>
      <c r="L178" s="1"/>
      <c r="M178" s="1"/>
      <c r="N178" s="1"/>
      <c r="O178" s="1"/>
      <c r="P178" s="1"/>
      <c r="Q178" s="1"/>
      <c r="R178" s="1"/>
      <c r="S178" s="1"/>
      <c r="T178" s="1"/>
      <c r="U178" s="1"/>
      <c r="V178" s="1"/>
      <c r="W178" s="1"/>
      <c r="X178" s="1"/>
      <c r="Y178" s="1"/>
      <c r="Z178" s="1"/>
    </row>
    <row r="179" spans="1:26" ht="15" customHeight="1">
      <c r="A179" s="1"/>
      <c r="B179" s="415" t="s">
        <v>741</v>
      </c>
      <c r="C179" s="1"/>
      <c r="D179" s="10"/>
      <c r="E179" s="1"/>
      <c r="F179" s="1"/>
      <c r="G179" s="1"/>
      <c r="H179" s="1"/>
      <c r="I179" s="1"/>
      <c r="J179" s="1"/>
      <c r="K179" s="1"/>
      <c r="L179" s="1"/>
      <c r="M179" s="1"/>
      <c r="N179" s="1"/>
      <c r="O179" s="1"/>
      <c r="P179" s="1"/>
      <c r="Q179" s="1"/>
      <c r="R179" s="1"/>
      <c r="S179" s="1"/>
      <c r="T179" s="1"/>
      <c r="U179" s="1"/>
      <c r="V179" s="1"/>
      <c r="W179" s="1"/>
      <c r="X179" s="1"/>
      <c r="Y179" s="1"/>
      <c r="Z179" s="1"/>
    </row>
    <row r="180" spans="1:26" ht="15" customHeight="1">
      <c r="A180" s="1"/>
      <c r="B180" s="415" t="s">
        <v>742</v>
      </c>
      <c r="C180" s="1"/>
      <c r="D180" s="10"/>
      <c r="E180" s="1"/>
      <c r="F180" s="1"/>
      <c r="G180" s="1"/>
      <c r="H180" s="1"/>
      <c r="I180" s="1"/>
      <c r="J180" s="1"/>
      <c r="K180" s="1"/>
      <c r="L180" s="1"/>
      <c r="M180" s="1"/>
      <c r="N180" s="1"/>
      <c r="O180" s="1"/>
      <c r="P180" s="1"/>
      <c r="Q180" s="1"/>
      <c r="R180" s="1"/>
      <c r="S180" s="1"/>
      <c r="T180" s="1"/>
      <c r="U180" s="1"/>
      <c r="V180" s="1"/>
      <c r="W180" s="1"/>
      <c r="X180" s="1"/>
      <c r="Y180" s="1"/>
      <c r="Z180" s="1"/>
    </row>
    <row r="181" spans="1:26" ht="15" customHeight="1">
      <c r="A181" s="1"/>
      <c r="B181" s="415" t="s">
        <v>743</v>
      </c>
      <c r="C181" s="1"/>
      <c r="D181" s="10"/>
      <c r="E181" s="1"/>
      <c r="F181" s="1"/>
      <c r="G181" s="1"/>
      <c r="H181" s="1"/>
      <c r="I181" s="1"/>
      <c r="J181" s="1"/>
      <c r="K181" s="1"/>
      <c r="L181" s="1"/>
      <c r="M181" s="1"/>
      <c r="N181" s="1"/>
      <c r="O181" s="1"/>
      <c r="P181" s="1"/>
      <c r="Q181" s="1"/>
      <c r="R181" s="1"/>
      <c r="S181" s="1"/>
      <c r="T181" s="1"/>
      <c r="U181" s="1"/>
      <c r="V181" s="1"/>
      <c r="W181" s="1"/>
      <c r="X181" s="1"/>
      <c r="Y181" s="1"/>
      <c r="Z181" s="1"/>
    </row>
    <row r="182" spans="1:26" ht="15" customHeight="1">
      <c r="A182" s="1"/>
      <c r="B182" s="415" t="s">
        <v>744</v>
      </c>
      <c r="C182" s="1"/>
      <c r="D182" s="10"/>
      <c r="E182" s="1"/>
      <c r="F182" s="1"/>
      <c r="G182" s="1"/>
      <c r="H182" s="1"/>
      <c r="I182" s="1"/>
      <c r="J182" s="1"/>
      <c r="K182" s="1"/>
      <c r="L182" s="1"/>
      <c r="M182" s="1"/>
      <c r="N182" s="1"/>
      <c r="O182" s="1"/>
      <c r="P182" s="1"/>
      <c r="Q182" s="1"/>
      <c r="R182" s="1"/>
      <c r="S182" s="1"/>
      <c r="T182" s="1"/>
      <c r="U182" s="1"/>
      <c r="V182" s="1"/>
      <c r="W182" s="1"/>
      <c r="X182" s="1"/>
      <c r="Y182" s="1"/>
      <c r="Z182" s="1"/>
    </row>
    <row r="183" spans="1:26" ht="15" customHeight="1">
      <c r="A183" s="1"/>
      <c r="B183" s="415" t="s">
        <v>745</v>
      </c>
      <c r="C183" s="1"/>
      <c r="D183" s="10"/>
      <c r="E183" s="1"/>
      <c r="F183" s="1"/>
      <c r="G183" s="1"/>
      <c r="H183" s="1"/>
      <c r="I183" s="1"/>
      <c r="J183" s="1"/>
      <c r="K183" s="1"/>
      <c r="L183" s="1"/>
      <c r="M183" s="1"/>
      <c r="N183" s="1"/>
      <c r="O183" s="1"/>
      <c r="P183" s="1"/>
      <c r="Q183" s="1"/>
      <c r="R183" s="1"/>
      <c r="S183" s="1"/>
      <c r="T183" s="1"/>
      <c r="U183" s="1"/>
      <c r="V183" s="1"/>
      <c r="W183" s="1"/>
      <c r="X183" s="1"/>
      <c r="Y183" s="1"/>
      <c r="Z183" s="1"/>
    </row>
    <row r="184" spans="1:26" ht="15" customHeight="1">
      <c r="A184" s="1"/>
      <c r="B184" s="415" t="s">
        <v>746</v>
      </c>
      <c r="C184" s="1"/>
      <c r="D184" s="10"/>
      <c r="E184" s="1"/>
      <c r="F184" s="1"/>
      <c r="G184" s="1"/>
      <c r="H184" s="1"/>
      <c r="I184" s="1"/>
      <c r="J184" s="1"/>
      <c r="K184" s="1"/>
      <c r="L184" s="1"/>
      <c r="M184" s="1"/>
      <c r="N184" s="1"/>
      <c r="O184" s="1"/>
      <c r="P184" s="1"/>
      <c r="Q184" s="1"/>
      <c r="R184" s="1"/>
      <c r="S184" s="1"/>
      <c r="T184" s="1"/>
      <c r="U184" s="1"/>
      <c r="V184" s="1"/>
      <c r="W184" s="1"/>
      <c r="X184" s="1"/>
      <c r="Y184" s="1"/>
      <c r="Z184" s="1"/>
    </row>
    <row r="185" spans="1:26" ht="15" customHeight="1">
      <c r="A185" s="1"/>
      <c r="B185" s="415" t="s">
        <v>747</v>
      </c>
      <c r="C185" s="1"/>
      <c r="D185" s="10"/>
      <c r="E185" s="1"/>
      <c r="F185" s="1"/>
      <c r="G185" s="1"/>
      <c r="H185" s="1"/>
      <c r="I185" s="1"/>
      <c r="J185" s="1"/>
      <c r="K185" s="1"/>
      <c r="L185" s="1"/>
      <c r="M185" s="1"/>
      <c r="N185" s="1"/>
      <c r="O185" s="1"/>
      <c r="P185" s="1"/>
      <c r="Q185" s="1"/>
      <c r="R185" s="1"/>
      <c r="S185" s="1"/>
      <c r="T185" s="1"/>
      <c r="U185" s="1"/>
      <c r="V185" s="1"/>
      <c r="W185" s="1"/>
      <c r="X185" s="1"/>
      <c r="Y185" s="1"/>
      <c r="Z185" s="1"/>
    </row>
    <row r="186" spans="1:26" ht="15" customHeight="1">
      <c r="A186" s="1"/>
      <c r="B186" s="415" t="s">
        <v>748</v>
      </c>
      <c r="C186" s="1"/>
      <c r="D186" s="10"/>
      <c r="E186" s="1"/>
      <c r="F186" s="1"/>
      <c r="G186" s="1"/>
      <c r="H186" s="1"/>
      <c r="I186" s="1"/>
      <c r="J186" s="1"/>
      <c r="K186" s="1"/>
      <c r="L186" s="1"/>
      <c r="M186" s="1"/>
      <c r="N186" s="1"/>
      <c r="O186" s="1"/>
      <c r="P186" s="1"/>
      <c r="Q186" s="1"/>
      <c r="R186" s="1"/>
      <c r="S186" s="1"/>
      <c r="T186" s="1"/>
      <c r="U186" s="1"/>
      <c r="V186" s="1"/>
      <c r="W186" s="1"/>
      <c r="X186" s="1"/>
      <c r="Y186" s="1"/>
      <c r="Z186" s="1"/>
    </row>
    <row r="187" spans="1:26" ht="15" customHeight="1">
      <c r="A187" s="1"/>
      <c r="B187" s="415" t="s">
        <v>749</v>
      </c>
      <c r="C187" s="1"/>
      <c r="D187" s="10"/>
      <c r="E187" s="1"/>
      <c r="F187" s="1"/>
      <c r="G187" s="1"/>
      <c r="H187" s="1"/>
      <c r="I187" s="1"/>
      <c r="J187" s="1"/>
      <c r="K187" s="1"/>
      <c r="L187" s="1"/>
      <c r="M187" s="1"/>
      <c r="N187" s="1"/>
      <c r="O187" s="1"/>
      <c r="P187" s="1"/>
      <c r="Q187" s="1"/>
      <c r="R187" s="1"/>
      <c r="S187" s="1"/>
      <c r="T187" s="1"/>
      <c r="U187" s="1"/>
      <c r="V187" s="1"/>
      <c r="W187" s="1"/>
      <c r="X187" s="1"/>
      <c r="Y187" s="1"/>
      <c r="Z187" s="1"/>
    </row>
    <row r="188" spans="1:26" ht="15" customHeight="1">
      <c r="A188" s="1"/>
      <c r="B188" s="415" t="s">
        <v>750</v>
      </c>
      <c r="C188" s="1"/>
      <c r="D188" s="10"/>
      <c r="E188" s="1"/>
      <c r="F188" s="1"/>
      <c r="G188" s="1"/>
      <c r="H188" s="1"/>
      <c r="I188" s="1"/>
      <c r="J188" s="1"/>
      <c r="K188" s="1"/>
      <c r="L188" s="1"/>
      <c r="M188" s="1"/>
      <c r="N188" s="1"/>
      <c r="O188" s="1"/>
      <c r="P188" s="1"/>
      <c r="Q188" s="1"/>
      <c r="R188" s="1"/>
      <c r="S188" s="1"/>
      <c r="T188" s="1"/>
      <c r="U188" s="1"/>
      <c r="V188" s="1"/>
      <c r="W188" s="1"/>
      <c r="X188" s="1"/>
      <c r="Y188" s="1"/>
      <c r="Z188" s="1"/>
    </row>
    <row r="189" spans="1:26" ht="15" customHeight="1">
      <c r="A189" s="1"/>
      <c r="B189" s="415" t="s">
        <v>751</v>
      </c>
      <c r="C189" s="1"/>
      <c r="D189" s="10"/>
      <c r="E189" s="1"/>
      <c r="F189" s="1"/>
      <c r="G189" s="1"/>
      <c r="H189" s="1"/>
      <c r="I189" s="1"/>
      <c r="J189" s="1"/>
      <c r="K189" s="1"/>
      <c r="L189" s="1"/>
      <c r="M189" s="1"/>
      <c r="N189" s="1"/>
      <c r="O189" s="1"/>
      <c r="P189" s="1"/>
      <c r="Q189" s="1"/>
      <c r="R189" s="1"/>
      <c r="S189" s="1"/>
      <c r="T189" s="1"/>
      <c r="U189" s="1"/>
      <c r="V189" s="1"/>
      <c r="W189" s="1"/>
      <c r="X189" s="1"/>
      <c r="Y189" s="1"/>
      <c r="Z189" s="1"/>
    </row>
    <row r="190" spans="1:26" ht="15" customHeight="1">
      <c r="A190" s="1"/>
      <c r="B190" s="415" t="s">
        <v>752</v>
      </c>
      <c r="C190" s="1"/>
      <c r="D190" s="10"/>
      <c r="E190" s="1"/>
      <c r="F190" s="1"/>
      <c r="G190" s="1"/>
      <c r="H190" s="1"/>
      <c r="I190" s="1"/>
      <c r="J190" s="1"/>
      <c r="K190" s="1"/>
      <c r="L190" s="1"/>
      <c r="M190" s="1"/>
      <c r="N190" s="1"/>
      <c r="O190" s="1"/>
      <c r="P190" s="1"/>
      <c r="Q190" s="1"/>
      <c r="R190" s="1"/>
      <c r="S190" s="1"/>
      <c r="T190" s="1"/>
      <c r="U190" s="1"/>
      <c r="V190" s="1"/>
      <c r="W190" s="1"/>
      <c r="X190" s="1"/>
      <c r="Y190" s="1"/>
      <c r="Z190" s="1"/>
    </row>
    <row r="191" spans="1:26" ht="15" customHeight="1">
      <c r="A191" s="1"/>
      <c r="B191" s="415" t="s">
        <v>753</v>
      </c>
      <c r="C191" s="1"/>
      <c r="D191" s="10"/>
      <c r="E191" s="1"/>
      <c r="F191" s="1"/>
      <c r="G191" s="1"/>
      <c r="H191" s="1"/>
      <c r="I191" s="1"/>
      <c r="J191" s="1"/>
      <c r="K191" s="1"/>
      <c r="L191" s="1"/>
      <c r="M191" s="1"/>
      <c r="N191" s="1"/>
      <c r="O191" s="1"/>
      <c r="P191" s="1"/>
      <c r="Q191" s="1"/>
      <c r="R191" s="1"/>
      <c r="S191" s="1"/>
      <c r="T191" s="1"/>
      <c r="U191" s="1"/>
      <c r="V191" s="1"/>
      <c r="W191" s="1"/>
      <c r="X191" s="1"/>
      <c r="Y191" s="1"/>
      <c r="Z191" s="1"/>
    </row>
    <row r="192" spans="1:26" ht="15" customHeight="1">
      <c r="A192" s="1"/>
      <c r="B192" s="415" t="s">
        <v>754</v>
      </c>
      <c r="C192" s="1"/>
      <c r="D192" s="10"/>
      <c r="E192" s="1"/>
      <c r="F192" s="1"/>
      <c r="G192" s="1"/>
      <c r="H192" s="1"/>
      <c r="I192" s="1"/>
      <c r="J192" s="1"/>
      <c r="K192" s="1"/>
      <c r="L192" s="1"/>
      <c r="M192" s="1"/>
      <c r="N192" s="1"/>
      <c r="O192" s="1"/>
      <c r="P192" s="1"/>
      <c r="Q192" s="1"/>
      <c r="R192" s="1"/>
      <c r="S192" s="1"/>
      <c r="T192" s="1"/>
      <c r="U192" s="1"/>
      <c r="V192" s="1"/>
      <c r="W192" s="1"/>
      <c r="X192" s="1"/>
      <c r="Y192" s="1"/>
      <c r="Z192" s="1"/>
    </row>
    <row r="193" spans="1:26" ht="15" customHeight="1">
      <c r="A193" s="1"/>
      <c r="B193" s="415" t="s">
        <v>755</v>
      </c>
      <c r="C193" s="1"/>
      <c r="D193" s="10"/>
      <c r="E193" s="1"/>
      <c r="F193" s="1"/>
      <c r="G193" s="1"/>
      <c r="H193" s="1"/>
      <c r="I193" s="1"/>
      <c r="J193" s="1"/>
      <c r="K193" s="1"/>
      <c r="L193" s="1"/>
      <c r="M193" s="1"/>
      <c r="N193" s="1"/>
      <c r="O193" s="1"/>
      <c r="P193" s="1"/>
      <c r="Q193" s="1"/>
      <c r="R193" s="1"/>
      <c r="S193" s="1"/>
      <c r="T193" s="1"/>
      <c r="U193" s="1"/>
      <c r="V193" s="1"/>
      <c r="W193" s="1"/>
      <c r="X193" s="1"/>
      <c r="Y193" s="1"/>
      <c r="Z193" s="1"/>
    </row>
    <row r="194" spans="1:26" ht="15" customHeight="1">
      <c r="A194" s="1"/>
      <c r="B194" s="415" t="s">
        <v>756</v>
      </c>
      <c r="C194" s="1"/>
      <c r="D194" s="10"/>
      <c r="E194" s="1"/>
      <c r="F194" s="1"/>
      <c r="G194" s="1"/>
      <c r="H194" s="1"/>
      <c r="I194" s="1"/>
      <c r="J194" s="1"/>
      <c r="K194" s="1"/>
      <c r="L194" s="1"/>
      <c r="M194" s="1"/>
      <c r="N194" s="1"/>
      <c r="O194" s="1"/>
      <c r="P194" s="1"/>
      <c r="Q194" s="1"/>
      <c r="R194" s="1"/>
      <c r="S194" s="1"/>
      <c r="T194" s="1"/>
      <c r="U194" s="1"/>
      <c r="V194" s="1"/>
      <c r="W194" s="1"/>
      <c r="X194" s="1"/>
      <c r="Y194" s="1"/>
      <c r="Z194" s="1"/>
    </row>
    <row r="195" spans="1:26" ht="15" customHeight="1">
      <c r="A195" s="1"/>
      <c r="B195" s="415" t="s">
        <v>757</v>
      </c>
      <c r="C195" s="1"/>
      <c r="D195" s="10"/>
      <c r="E195" s="1"/>
      <c r="F195" s="1"/>
      <c r="G195" s="1"/>
      <c r="H195" s="1"/>
      <c r="I195" s="1"/>
      <c r="J195" s="1"/>
      <c r="K195" s="1"/>
      <c r="L195" s="1"/>
      <c r="M195" s="1"/>
      <c r="N195" s="1"/>
      <c r="O195" s="1"/>
      <c r="P195" s="1"/>
      <c r="Q195" s="1"/>
      <c r="R195" s="1"/>
      <c r="S195" s="1"/>
      <c r="T195" s="1"/>
      <c r="U195" s="1"/>
      <c r="V195" s="1"/>
      <c r="W195" s="1"/>
      <c r="X195" s="1"/>
      <c r="Y195" s="1"/>
      <c r="Z195" s="1"/>
    </row>
    <row r="196" spans="1:26" ht="15" customHeight="1">
      <c r="A196" s="1"/>
      <c r="B196" s="415" t="s">
        <v>758</v>
      </c>
      <c r="C196" s="1"/>
      <c r="D196" s="10"/>
      <c r="E196" s="1"/>
      <c r="F196" s="1"/>
      <c r="G196" s="1"/>
      <c r="H196" s="1"/>
      <c r="I196" s="1"/>
      <c r="J196" s="1"/>
      <c r="K196" s="1"/>
      <c r="L196" s="1"/>
      <c r="M196" s="1"/>
      <c r="N196" s="1"/>
      <c r="O196" s="1"/>
      <c r="P196" s="1"/>
      <c r="Q196" s="1"/>
      <c r="R196" s="1"/>
      <c r="S196" s="1"/>
      <c r="T196" s="1"/>
      <c r="U196" s="1"/>
      <c r="V196" s="1"/>
      <c r="W196" s="1"/>
      <c r="X196" s="1"/>
      <c r="Y196" s="1"/>
      <c r="Z196" s="1"/>
    </row>
    <row r="197" spans="1:26" ht="15" customHeight="1">
      <c r="A197" s="1"/>
      <c r="B197" s="415" t="s">
        <v>759</v>
      </c>
      <c r="C197" s="1"/>
      <c r="D197" s="10"/>
      <c r="E197" s="1"/>
      <c r="F197" s="1"/>
      <c r="G197" s="1"/>
      <c r="H197" s="1"/>
      <c r="I197" s="1"/>
      <c r="J197" s="1"/>
      <c r="K197" s="1"/>
      <c r="L197" s="1"/>
      <c r="M197" s="1"/>
      <c r="N197" s="1"/>
      <c r="O197" s="1"/>
      <c r="P197" s="1"/>
      <c r="Q197" s="1"/>
      <c r="R197" s="1"/>
      <c r="S197" s="1"/>
      <c r="T197" s="1"/>
      <c r="U197" s="1"/>
      <c r="V197" s="1"/>
      <c r="W197" s="1"/>
      <c r="X197" s="1"/>
      <c r="Y197" s="1"/>
      <c r="Z197" s="1"/>
    </row>
    <row r="198" spans="1:26" ht="15" customHeight="1">
      <c r="A198" s="1"/>
      <c r="B198" s="415" t="s">
        <v>760</v>
      </c>
      <c r="C198" s="1"/>
      <c r="D198" s="10"/>
      <c r="E198" s="1"/>
      <c r="F198" s="1"/>
      <c r="G198" s="1"/>
      <c r="H198" s="1"/>
      <c r="I198" s="1"/>
      <c r="J198" s="1"/>
      <c r="K198" s="1"/>
      <c r="L198" s="1"/>
      <c r="M198" s="1"/>
      <c r="N198" s="1"/>
      <c r="O198" s="1"/>
      <c r="P198" s="1"/>
      <c r="Q198" s="1"/>
      <c r="R198" s="1"/>
      <c r="S198" s="1"/>
      <c r="T198" s="1"/>
      <c r="U198" s="1"/>
      <c r="V198" s="1"/>
      <c r="W198" s="1"/>
      <c r="X198" s="1"/>
      <c r="Y198" s="1"/>
      <c r="Z198" s="1"/>
    </row>
    <row r="199" spans="1:26" ht="15" customHeight="1">
      <c r="A199" s="1"/>
      <c r="B199" s="415" t="s">
        <v>761</v>
      </c>
      <c r="C199" s="1"/>
      <c r="D199" s="10"/>
      <c r="E199" s="1"/>
      <c r="F199" s="1"/>
      <c r="G199" s="1"/>
      <c r="H199" s="1"/>
      <c r="I199" s="1"/>
      <c r="J199" s="1"/>
      <c r="K199" s="1"/>
      <c r="L199" s="1"/>
      <c r="M199" s="1"/>
      <c r="N199" s="1"/>
      <c r="O199" s="1"/>
      <c r="P199" s="1"/>
      <c r="Q199" s="1"/>
      <c r="R199" s="1"/>
      <c r="S199" s="1"/>
      <c r="T199" s="1"/>
      <c r="U199" s="1"/>
      <c r="V199" s="1"/>
      <c r="W199" s="1"/>
      <c r="X199" s="1"/>
      <c r="Y199" s="1"/>
      <c r="Z199" s="1"/>
    </row>
    <row r="200" spans="1:26" ht="15" customHeight="1">
      <c r="A200" s="1"/>
      <c r="B200" s="415" t="s">
        <v>762</v>
      </c>
      <c r="C200" s="1"/>
      <c r="D200" s="10"/>
      <c r="E200" s="1"/>
      <c r="F200" s="1"/>
      <c r="G200" s="1"/>
      <c r="H200" s="1"/>
      <c r="I200" s="1"/>
      <c r="J200" s="1"/>
      <c r="K200" s="1"/>
      <c r="L200" s="1"/>
      <c r="M200" s="1"/>
      <c r="N200" s="1"/>
      <c r="O200" s="1"/>
      <c r="P200" s="1"/>
      <c r="Q200" s="1"/>
      <c r="R200" s="1"/>
      <c r="S200" s="1"/>
      <c r="T200" s="1"/>
      <c r="U200" s="1"/>
      <c r="V200" s="1"/>
      <c r="W200" s="1"/>
      <c r="X200" s="1"/>
      <c r="Y200" s="1"/>
      <c r="Z200" s="1"/>
    </row>
    <row r="201" spans="1:26" ht="15" customHeight="1">
      <c r="A201" s="1"/>
      <c r="B201" s="415" t="s">
        <v>763</v>
      </c>
      <c r="C201" s="1"/>
      <c r="D201" s="10"/>
      <c r="E201" s="1"/>
      <c r="F201" s="1"/>
      <c r="G201" s="1"/>
      <c r="H201" s="1"/>
      <c r="I201" s="1"/>
      <c r="J201" s="1"/>
      <c r="K201" s="1"/>
      <c r="L201" s="1"/>
      <c r="M201" s="1"/>
      <c r="N201" s="1"/>
      <c r="O201" s="1"/>
      <c r="P201" s="1"/>
      <c r="Q201" s="1"/>
      <c r="R201" s="1"/>
      <c r="S201" s="1"/>
      <c r="T201" s="1"/>
      <c r="U201" s="1"/>
      <c r="V201" s="1"/>
      <c r="W201" s="1"/>
      <c r="X201" s="1"/>
      <c r="Y201" s="1"/>
      <c r="Z201" s="1"/>
    </row>
    <row r="202" spans="1:26" ht="15" customHeight="1">
      <c r="A202" s="1"/>
      <c r="B202" s="415" t="s">
        <v>764</v>
      </c>
      <c r="C202" s="1"/>
      <c r="D202" s="10"/>
      <c r="E202" s="1"/>
      <c r="F202" s="1"/>
      <c r="G202" s="1"/>
      <c r="H202" s="1"/>
      <c r="I202" s="1"/>
      <c r="J202" s="1"/>
      <c r="K202" s="1"/>
      <c r="L202" s="1"/>
      <c r="M202" s="1"/>
      <c r="N202" s="1"/>
      <c r="O202" s="1"/>
      <c r="P202" s="1"/>
      <c r="Q202" s="1"/>
      <c r="R202" s="1"/>
      <c r="S202" s="1"/>
      <c r="T202" s="1"/>
      <c r="U202" s="1"/>
      <c r="V202" s="1"/>
      <c r="W202" s="1"/>
      <c r="X202" s="1"/>
      <c r="Y202" s="1"/>
      <c r="Z202" s="1"/>
    </row>
    <row r="203" spans="1:26" ht="15" customHeight="1">
      <c r="A203" s="1"/>
      <c r="B203" s="415" t="s">
        <v>765</v>
      </c>
      <c r="C203" s="1"/>
      <c r="D203" s="10"/>
      <c r="E203" s="1"/>
      <c r="F203" s="1"/>
      <c r="G203" s="1"/>
      <c r="H203" s="1"/>
      <c r="I203" s="1"/>
      <c r="J203" s="1"/>
      <c r="K203" s="1"/>
      <c r="L203" s="1"/>
      <c r="M203" s="1"/>
      <c r="N203" s="1"/>
      <c r="O203" s="1"/>
      <c r="P203" s="1"/>
      <c r="Q203" s="1"/>
      <c r="R203" s="1"/>
      <c r="S203" s="1"/>
      <c r="T203" s="1"/>
      <c r="U203" s="1"/>
      <c r="V203" s="1"/>
      <c r="W203" s="1"/>
      <c r="X203" s="1"/>
      <c r="Y203" s="1"/>
      <c r="Z203" s="1"/>
    </row>
    <row r="204" spans="1:26" ht="15" customHeight="1">
      <c r="A204" s="1"/>
      <c r="B204" s="415" t="s">
        <v>766</v>
      </c>
      <c r="C204" s="1"/>
      <c r="D204" s="10"/>
      <c r="E204" s="1"/>
      <c r="F204" s="1"/>
      <c r="G204" s="1"/>
      <c r="H204" s="1"/>
      <c r="I204" s="1"/>
      <c r="J204" s="1"/>
      <c r="K204" s="1"/>
      <c r="L204" s="1"/>
      <c r="M204" s="1"/>
      <c r="N204" s="1"/>
      <c r="O204" s="1"/>
      <c r="P204" s="1"/>
      <c r="Q204" s="1"/>
      <c r="R204" s="1"/>
      <c r="S204" s="1"/>
      <c r="T204" s="1"/>
      <c r="U204" s="1"/>
      <c r="V204" s="1"/>
      <c r="W204" s="1"/>
      <c r="X204" s="1"/>
      <c r="Y204" s="1"/>
      <c r="Z204" s="1"/>
    </row>
    <row r="205" spans="1:26" ht="15" customHeight="1">
      <c r="A205" s="1"/>
      <c r="B205" s="415" t="s">
        <v>767</v>
      </c>
      <c r="C205" s="1"/>
      <c r="D205" s="10"/>
      <c r="E205" s="1"/>
      <c r="F205" s="1"/>
      <c r="G205" s="1"/>
      <c r="H205" s="1"/>
      <c r="I205" s="1"/>
      <c r="J205" s="1"/>
      <c r="K205" s="1"/>
      <c r="L205" s="1"/>
      <c r="M205" s="1"/>
      <c r="N205" s="1"/>
      <c r="O205" s="1"/>
      <c r="P205" s="1"/>
      <c r="Q205" s="1"/>
      <c r="R205" s="1"/>
      <c r="S205" s="1"/>
      <c r="T205" s="1"/>
      <c r="U205" s="1"/>
      <c r="V205" s="1"/>
      <c r="W205" s="1"/>
      <c r="X205" s="1"/>
      <c r="Y205" s="1"/>
      <c r="Z205" s="1"/>
    </row>
    <row r="206" spans="1:26" ht="15" customHeight="1">
      <c r="A206" s="1"/>
      <c r="B206" s="415" t="s">
        <v>768</v>
      </c>
      <c r="C206" s="1"/>
      <c r="D206" s="10"/>
      <c r="E206" s="1"/>
      <c r="F206" s="1"/>
      <c r="G206" s="1"/>
      <c r="H206" s="1"/>
      <c r="I206" s="1"/>
      <c r="J206" s="1"/>
      <c r="K206" s="1"/>
      <c r="L206" s="1"/>
      <c r="M206" s="1"/>
      <c r="N206" s="1"/>
      <c r="O206" s="1"/>
      <c r="P206" s="1"/>
      <c r="Q206" s="1"/>
      <c r="R206" s="1"/>
      <c r="S206" s="1"/>
      <c r="T206" s="1"/>
      <c r="U206" s="1"/>
      <c r="V206" s="1"/>
      <c r="W206" s="1"/>
      <c r="X206" s="1"/>
      <c r="Y206" s="1"/>
      <c r="Z206" s="1"/>
    </row>
    <row r="207" spans="1:26" ht="15" customHeight="1">
      <c r="A207" s="1"/>
      <c r="B207" s="415" t="s">
        <v>769</v>
      </c>
      <c r="C207" s="1"/>
      <c r="D207" s="10"/>
      <c r="E207" s="1"/>
      <c r="F207" s="1"/>
      <c r="G207" s="1"/>
      <c r="H207" s="1"/>
      <c r="I207" s="1"/>
      <c r="J207" s="1"/>
      <c r="K207" s="1"/>
      <c r="L207" s="1"/>
      <c r="M207" s="1"/>
      <c r="N207" s="1"/>
      <c r="O207" s="1"/>
      <c r="P207" s="1"/>
      <c r="Q207" s="1"/>
      <c r="R207" s="1"/>
      <c r="S207" s="1"/>
      <c r="T207" s="1"/>
      <c r="U207" s="1"/>
      <c r="V207" s="1"/>
      <c r="W207" s="1"/>
      <c r="X207" s="1"/>
      <c r="Y207" s="1"/>
      <c r="Z207" s="1"/>
    </row>
    <row r="208" spans="1:26" ht="15" customHeight="1">
      <c r="A208" s="1"/>
      <c r="B208" s="415" t="s">
        <v>770</v>
      </c>
      <c r="C208" s="1"/>
      <c r="D208" s="10"/>
      <c r="E208" s="1"/>
      <c r="F208" s="1"/>
      <c r="G208" s="1"/>
      <c r="H208" s="1"/>
      <c r="I208" s="1"/>
      <c r="J208" s="1"/>
      <c r="K208" s="1"/>
      <c r="L208" s="1"/>
      <c r="M208" s="1"/>
      <c r="N208" s="1"/>
      <c r="O208" s="1"/>
      <c r="P208" s="1"/>
      <c r="Q208" s="1"/>
      <c r="R208" s="1"/>
      <c r="S208" s="1"/>
      <c r="T208" s="1"/>
      <c r="U208" s="1"/>
      <c r="V208" s="1"/>
      <c r="W208" s="1"/>
      <c r="X208" s="1"/>
      <c r="Y208" s="1"/>
      <c r="Z208" s="1"/>
    </row>
    <row r="209" spans="1:26" ht="15" customHeight="1">
      <c r="A209" s="1"/>
      <c r="B209" s="415" t="s">
        <v>771</v>
      </c>
      <c r="C209" s="1"/>
      <c r="D209" s="10"/>
      <c r="E209" s="1"/>
      <c r="F209" s="1"/>
      <c r="G209" s="1"/>
      <c r="H209" s="1"/>
      <c r="I209" s="1"/>
      <c r="J209" s="1"/>
      <c r="K209" s="1"/>
      <c r="L209" s="1"/>
      <c r="M209" s="1"/>
      <c r="N209" s="1"/>
      <c r="O209" s="1"/>
      <c r="P209" s="1"/>
      <c r="Q209" s="1"/>
      <c r="R209" s="1"/>
      <c r="S209" s="1"/>
      <c r="T209" s="1"/>
      <c r="U209" s="1"/>
      <c r="V209" s="1"/>
      <c r="W209" s="1"/>
      <c r="X209" s="1"/>
      <c r="Y209" s="1"/>
      <c r="Z209" s="1"/>
    </row>
    <row r="210" spans="1:26" ht="15" customHeight="1">
      <c r="A210" s="1"/>
      <c r="B210" s="415" t="s">
        <v>772</v>
      </c>
      <c r="C210" s="1"/>
      <c r="D210" s="10"/>
      <c r="E210" s="1"/>
      <c r="F210" s="1"/>
      <c r="G210" s="1"/>
      <c r="H210" s="1"/>
      <c r="I210" s="1"/>
      <c r="J210" s="1"/>
      <c r="K210" s="1"/>
      <c r="L210" s="1"/>
      <c r="M210" s="1"/>
      <c r="N210" s="1"/>
      <c r="O210" s="1"/>
      <c r="P210" s="1"/>
      <c r="Q210" s="1"/>
      <c r="R210" s="1"/>
      <c r="S210" s="1"/>
      <c r="T210" s="1"/>
      <c r="U210" s="1"/>
      <c r="V210" s="1"/>
      <c r="W210" s="1"/>
      <c r="X210" s="1"/>
      <c r="Y210" s="1"/>
      <c r="Z210" s="1"/>
    </row>
    <row r="211" spans="1:26" ht="15" customHeight="1">
      <c r="A211" s="1"/>
      <c r="B211" s="415" t="s">
        <v>773</v>
      </c>
      <c r="C211" s="1"/>
      <c r="D211" s="10"/>
      <c r="E211" s="1"/>
      <c r="F211" s="1"/>
      <c r="G211" s="1"/>
      <c r="H211" s="1"/>
      <c r="I211" s="1"/>
      <c r="J211" s="1"/>
      <c r="K211" s="1"/>
      <c r="L211" s="1"/>
      <c r="M211" s="1"/>
      <c r="N211" s="1"/>
      <c r="O211" s="1"/>
      <c r="P211" s="1"/>
      <c r="Q211" s="1"/>
      <c r="R211" s="1"/>
      <c r="S211" s="1"/>
      <c r="T211" s="1"/>
      <c r="U211" s="1"/>
      <c r="V211" s="1"/>
      <c r="W211" s="1"/>
      <c r="X211" s="1"/>
      <c r="Y211" s="1"/>
      <c r="Z211" s="1"/>
    </row>
    <row r="212" spans="1:26" ht="15" customHeight="1">
      <c r="A212" s="1"/>
      <c r="B212" s="415" t="s">
        <v>774</v>
      </c>
      <c r="C212" s="1"/>
      <c r="D212" s="10"/>
      <c r="E212" s="1"/>
      <c r="F212" s="1"/>
      <c r="G212" s="1"/>
      <c r="H212" s="1"/>
      <c r="I212" s="1"/>
      <c r="J212" s="1"/>
      <c r="K212" s="1"/>
      <c r="L212" s="1"/>
      <c r="M212" s="1"/>
      <c r="N212" s="1"/>
      <c r="O212" s="1"/>
      <c r="P212" s="1"/>
      <c r="Q212" s="1"/>
      <c r="R212" s="1"/>
      <c r="S212" s="1"/>
      <c r="T212" s="1"/>
      <c r="U212" s="1"/>
      <c r="V212" s="1"/>
      <c r="W212" s="1"/>
      <c r="X212" s="1"/>
      <c r="Y212" s="1"/>
      <c r="Z212" s="1"/>
    </row>
    <row r="213" spans="1:26" ht="15" customHeight="1">
      <c r="A213" s="1"/>
      <c r="B213" s="415" t="s">
        <v>775</v>
      </c>
      <c r="C213" s="1"/>
      <c r="D213" s="10"/>
      <c r="E213" s="1"/>
      <c r="F213" s="1"/>
      <c r="G213" s="1"/>
      <c r="H213" s="1"/>
      <c r="I213" s="1"/>
      <c r="J213" s="1"/>
      <c r="K213" s="1"/>
      <c r="L213" s="1"/>
      <c r="M213" s="1"/>
      <c r="N213" s="1"/>
      <c r="O213" s="1"/>
      <c r="P213" s="1"/>
      <c r="Q213" s="1"/>
      <c r="R213" s="1"/>
      <c r="S213" s="1"/>
      <c r="T213" s="1"/>
      <c r="U213" s="1"/>
      <c r="V213" s="1"/>
      <c r="W213" s="1"/>
      <c r="X213" s="1"/>
      <c r="Y213" s="1"/>
      <c r="Z213" s="1"/>
    </row>
    <row r="214" spans="1:26" ht="15" customHeight="1">
      <c r="A214" s="1"/>
      <c r="B214" s="415" t="s">
        <v>776</v>
      </c>
      <c r="C214" s="1"/>
      <c r="D214" s="10"/>
      <c r="E214" s="1"/>
      <c r="F214" s="1"/>
      <c r="G214" s="1"/>
      <c r="H214" s="1"/>
      <c r="I214" s="1"/>
      <c r="J214" s="1"/>
      <c r="K214" s="1"/>
      <c r="L214" s="1"/>
      <c r="M214" s="1"/>
      <c r="N214" s="1"/>
      <c r="O214" s="1"/>
      <c r="P214" s="1"/>
      <c r="Q214" s="1"/>
      <c r="R214" s="1"/>
      <c r="S214" s="1"/>
      <c r="T214" s="1"/>
      <c r="U214" s="1"/>
      <c r="V214" s="1"/>
      <c r="W214" s="1"/>
      <c r="X214" s="1"/>
      <c r="Y214" s="1"/>
      <c r="Z214" s="1"/>
    </row>
    <row r="215" spans="1:26" ht="15" customHeight="1">
      <c r="A215" s="1"/>
      <c r="B215" s="415" t="s">
        <v>777</v>
      </c>
      <c r="C215" s="1"/>
      <c r="D215" s="10"/>
      <c r="E215" s="1"/>
      <c r="F215" s="1"/>
      <c r="G215" s="1"/>
      <c r="H215" s="1"/>
      <c r="I215" s="1"/>
      <c r="J215" s="1"/>
      <c r="K215" s="1"/>
      <c r="L215" s="1"/>
      <c r="M215" s="1"/>
      <c r="N215" s="1"/>
      <c r="O215" s="1"/>
      <c r="P215" s="1"/>
      <c r="Q215" s="1"/>
      <c r="R215" s="1"/>
      <c r="S215" s="1"/>
      <c r="T215" s="1"/>
      <c r="U215" s="1"/>
      <c r="V215" s="1"/>
      <c r="W215" s="1"/>
      <c r="X215" s="1"/>
      <c r="Y215" s="1"/>
      <c r="Z215" s="1"/>
    </row>
    <row r="216" spans="1:26" ht="15" customHeight="1">
      <c r="A216" s="1"/>
      <c r="B216" s="415" t="s">
        <v>778</v>
      </c>
      <c r="C216" s="1"/>
      <c r="D216" s="10"/>
      <c r="E216" s="1"/>
      <c r="F216" s="1"/>
      <c r="G216" s="1"/>
      <c r="H216" s="1"/>
      <c r="I216" s="1"/>
      <c r="J216" s="1"/>
      <c r="K216" s="1"/>
      <c r="L216" s="1"/>
      <c r="M216" s="1"/>
      <c r="N216" s="1"/>
      <c r="O216" s="1"/>
      <c r="P216" s="1"/>
      <c r="Q216" s="1"/>
      <c r="R216" s="1"/>
      <c r="S216" s="1"/>
      <c r="T216" s="1"/>
      <c r="U216" s="1"/>
      <c r="V216" s="1"/>
      <c r="W216" s="1"/>
      <c r="X216" s="1"/>
      <c r="Y216" s="1"/>
      <c r="Z216" s="1"/>
    </row>
    <row r="217" spans="1:26" ht="15" customHeight="1">
      <c r="A217" s="1"/>
      <c r="B217" s="415" t="s">
        <v>516</v>
      </c>
      <c r="C217" s="1"/>
      <c r="D217" s="10"/>
      <c r="E217" s="1"/>
      <c r="F217" s="1"/>
      <c r="G217" s="1"/>
      <c r="H217" s="1"/>
      <c r="I217" s="1"/>
      <c r="J217" s="1"/>
      <c r="K217" s="1"/>
      <c r="L217" s="1"/>
      <c r="M217" s="1"/>
      <c r="N217" s="1"/>
      <c r="O217" s="1"/>
      <c r="P217" s="1"/>
      <c r="Q217" s="1"/>
      <c r="R217" s="1"/>
      <c r="S217" s="1"/>
      <c r="T217" s="1"/>
      <c r="U217" s="1"/>
      <c r="V217" s="1"/>
      <c r="W217" s="1"/>
      <c r="X217" s="1"/>
      <c r="Y217" s="1"/>
      <c r="Z217" s="1"/>
    </row>
    <row r="218" spans="1:26" ht="15" customHeight="1">
      <c r="A218" s="1"/>
      <c r="B218" s="415" t="s">
        <v>779</v>
      </c>
      <c r="C218" s="1"/>
      <c r="D218" s="10"/>
      <c r="E218" s="1"/>
      <c r="F218" s="1"/>
      <c r="G218" s="1"/>
      <c r="H218" s="1"/>
      <c r="I218" s="1"/>
      <c r="J218" s="1"/>
      <c r="K218" s="1"/>
      <c r="L218" s="1"/>
      <c r="M218" s="1"/>
      <c r="N218" s="1"/>
      <c r="O218" s="1"/>
      <c r="P218" s="1"/>
      <c r="Q218" s="1"/>
      <c r="R218" s="1"/>
      <c r="S218" s="1"/>
      <c r="T218" s="1"/>
      <c r="U218" s="1"/>
      <c r="V218" s="1"/>
      <c r="W218" s="1"/>
      <c r="X218" s="1"/>
      <c r="Y218" s="1"/>
      <c r="Z218" s="1"/>
    </row>
    <row r="219" spans="1:26" ht="15" customHeight="1">
      <c r="A219" s="1"/>
      <c r="B219" s="10"/>
      <c r="C219" s="1"/>
      <c r="D219" s="10"/>
      <c r="E219" s="1"/>
      <c r="F219" s="1"/>
      <c r="G219" s="1"/>
      <c r="H219" s="1"/>
      <c r="I219" s="1"/>
      <c r="J219" s="1"/>
      <c r="K219" s="1"/>
      <c r="L219" s="1"/>
      <c r="M219" s="1"/>
      <c r="N219" s="1"/>
      <c r="O219" s="1"/>
      <c r="P219" s="1"/>
      <c r="Q219" s="1"/>
      <c r="R219" s="1"/>
      <c r="S219" s="1"/>
      <c r="T219" s="1"/>
      <c r="U219" s="1"/>
      <c r="V219" s="1"/>
      <c r="W219" s="1"/>
      <c r="X219" s="1"/>
      <c r="Y219" s="1"/>
      <c r="Z219" s="1"/>
    </row>
    <row r="220" spans="1:26" ht="15" customHeight="1">
      <c r="A220" s="1"/>
      <c r="B220" s="10"/>
      <c r="C220" s="1"/>
      <c r="D220" s="10"/>
      <c r="E220" s="1"/>
      <c r="F220" s="1"/>
      <c r="G220" s="1"/>
      <c r="H220" s="1"/>
      <c r="I220" s="1"/>
      <c r="J220" s="1"/>
      <c r="K220" s="1"/>
      <c r="L220" s="1"/>
      <c r="M220" s="1"/>
      <c r="N220" s="1"/>
      <c r="O220" s="1"/>
      <c r="P220" s="1"/>
      <c r="Q220" s="1"/>
      <c r="R220" s="1"/>
      <c r="S220" s="1"/>
      <c r="T220" s="1"/>
      <c r="U220" s="1"/>
      <c r="V220" s="1"/>
      <c r="W220" s="1"/>
      <c r="X220" s="1"/>
      <c r="Y220" s="1"/>
      <c r="Z220" s="1"/>
    </row>
    <row r="221" spans="1:26" ht="15" customHeight="1">
      <c r="A221" s="1"/>
      <c r="B221" s="10"/>
      <c r="C221" s="1"/>
      <c r="D221" s="10"/>
      <c r="E221" s="1"/>
      <c r="F221" s="1"/>
      <c r="G221" s="1"/>
      <c r="H221" s="1"/>
      <c r="I221" s="1"/>
      <c r="J221" s="1"/>
      <c r="K221" s="1"/>
      <c r="L221" s="1"/>
      <c r="M221" s="1"/>
      <c r="N221" s="1"/>
      <c r="O221" s="1"/>
      <c r="P221" s="1"/>
      <c r="Q221" s="1"/>
      <c r="R221" s="1"/>
      <c r="S221" s="1"/>
      <c r="T221" s="1"/>
      <c r="U221" s="1"/>
      <c r="V221" s="1"/>
      <c r="W221" s="1"/>
      <c r="X221" s="1"/>
      <c r="Y221" s="1"/>
      <c r="Z221" s="1"/>
    </row>
    <row r="222" spans="1:26" ht="15" customHeight="1">
      <c r="A222" s="1"/>
      <c r="B222" s="10"/>
      <c r="C222" s="1"/>
      <c r="D222" s="10"/>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0"/>
      <c r="C223" s="1"/>
      <c r="D223" s="10"/>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0"/>
      <c r="C224" s="1"/>
      <c r="D224" s="10"/>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0"/>
      <c r="C225" s="1"/>
      <c r="D225" s="10"/>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0"/>
      <c r="C226" s="1"/>
      <c r="D226" s="10"/>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0"/>
      <c r="C227" s="1"/>
      <c r="D227" s="10"/>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0"/>
      <c r="C228" s="1"/>
      <c r="D228" s="10"/>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0"/>
      <c r="C229" s="1"/>
      <c r="D229" s="10"/>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0"/>
      <c r="C230" s="1"/>
      <c r="D230" s="10"/>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0"/>
      <c r="C231" s="1"/>
      <c r="D231" s="10"/>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0"/>
      <c r="C232" s="1"/>
      <c r="D232" s="10"/>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0"/>
      <c r="C233" s="1"/>
      <c r="D233" s="10"/>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0"/>
      <c r="C234" s="1"/>
      <c r="D234" s="10"/>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0"/>
      <c r="C235" s="1"/>
      <c r="D235" s="10"/>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0"/>
      <c r="C236" s="1"/>
      <c r="D236" s="10"/>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0"/>
      <c r="C237" s="1"/>
      <c r="D237" s="10"/>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0"/>
      <c r="C238" s="1"/>
      <c r="D238" s="10"/>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0"/>
      <c r="C239" s="1"/>
      <c r="D239" s="10"/>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0"/>
      <c r="C240" s="1"/>
      <c r="D240" s="10"/>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0"/>
      <c r="C241" s="1"/>
      <c r="D241" s="10"/>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0"/>
      <c r="C242" s="1"/>
      <c r="D242" s="10"/>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0"/>
      <c r="C243" s="1"/>
      <c r="D243" s="10"/>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0"/>
      <c r="C244" s="1"/>
      <c r="D244" s="10"/>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0"/>
      <c r="C245" s="1"/>
      <c r="D245" s="10"/>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0"/>
      <c r="C246" s="1"/>
      <c r="D246" s="10"/>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0"/>
      <c r="C247" s="1"/>
      <c r="D247" s="10"/>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0"/>
      <c r="C248" s="1"/>
      <c r="D248" s="10"/>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0"/>
      <c r="C249" s="1"/>
      <c r="D249" s="10"/>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0"/>
      <c r="C250" s="1"/>
      <c r="D250" s="10"/>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0"/>
      <c r="C251" s="1"/>
      <c r="D251" s="10"/>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0"/>
      <c r="C252" s="1"/>
      <c r="D252" s="10"/>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0"/>
      <c r="C253" s="1"/>
      <c r="D253" s="10"/>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0"/>
      <c r="C254" s="1"/>
      <c r="D254" s="10"/>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0"/>
      <c r="C255" s="1"/>
      <c r="D255" s="10"/>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0"/>
      <c r="C256" s="1"/>
      <c r="D256" s="10"/>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0"/>
      <c r="C257" s="1"/>
      <c r="D257" s="10"/>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0"/>
      <c r="C258" s="1"/>
      <c r="D258" s="10"/>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0"/>
      <c r="C259" s="1"/>
      <c r="D259" s="10"/>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0"/>
      <c r="C260" s="1"/>
      <c r="D260" s="10"/>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0"/>
      <c r="C261" s="1"/>
      <c r="D261" s="10"/>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0"/>
      <c r="C262" s="1"/>
      <c r="D262" s="10"/>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0"/>
      <c r="C263" s="1"/>
      <c r="D263" s="10"/>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0"/>
      <c r="C264" s="1"/>
      <c r="D264" s="10"/>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0"/>
      <c r="C265" s="1"/>
      <c r="D265" s="10"/>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0"/>
      <c r="C266" s="1"/>
      <c r="D266" s="10"/>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0"/>
      <c r="C267" s="1"/>
      <c r="D267" s="10"/>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0"/>
      <c r="C268" s="1"/>
      <c r="D268" s="10"/>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0"/>
      <c r="C269" s="1"/>
      <c r="D269" s="10"/>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0"/>
      <c r="C270" s="1"/>
      <c r="D270" s="10"/>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0"/>
      <c r="C271" s="1"/>
      <c r="D271" s="10"/>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0"/>
      <c r="C272" s="1"/>
      <c r="D272" s="10"/>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0"/>
      <c r="C273" s="1"/>
      <c r="D273" s="10"/>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0"/>
      <c r="C274" s="1"/>
      <c r="D274" s="10"/>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0"/>
      <c r="C275" s="1"/>
      <c r="D275" s="10"/>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0"/>
      <c r="C276" s="1"/>
      <c r="D276" s="10"/>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0"/>
      <c r="C277" s="1"/>
      <c r="D277" s="10"/>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0"/>
      <c r="C278" s="1"/>
      <c r="D278" s="10"/>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0"/>
      <c r="C279" s="1"/>
      <c r="D279" s="10"/>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0"/>
      <c r="C280" s="1"/>
      <c r="D280" s="10"/>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0"/>
      <c r="C281" s="1"/>
      <c r="D281" s="10"/>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0"/>
      <c r="C282" s="1"/>
      <c r="D282" s="10"/>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0"/>
      <c r="C283" s="1"/>
      <c r="D283" s="10"/>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0"/>
      <c r="C284" s="1"/>
      <c r="D284" s="10"/>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0"/>
      <c r="C285" s="1"/>
      <c r="D285" s="10"/>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0"/>
      <c r="C286" s="1"/>
      <c r="D286" s="10"/>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0"/>
      <c r="C287" s="1"/>
      <c r="D287" s="10"/>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0"/>
      <c r="C288" s="1"/>
      <c r="D288" s="10"/>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0"/>
      <c r="C289" s="1"/>
      <c r="D289" s="10"/>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0"/>
      <c r="C290" s="1"/>
      <c r="D290" s="10"/>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0"/>
      <c r="C291" s="1"/>
      <c r="D291" s="10"/>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0"/>
      <c r="C292" s="1"/>
      <c r="D292" s="10"/>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0"/>
      <c r="C293" s="1"/>
      <c r="D293" s="10"/>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0"/>
      <c r="C294" s="1"/>
      <c r="D294" s="10"/>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0"/>
      <c r="C295" s="1"/>
      <c r="D295" s="10"/>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0"/>
      <c r="C296" s="1"/>
      <c r="D296" s="10"/>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0"/>
      <c r="C297" s="1"/>
      <c r="D297" s="10"/>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0"/>
      <c r="C298" s="1"/>
      <c r="D298" s="10"/>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0"/>
      <c r="C299" s="1"/>
      <c r="D299" s="10"/>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0"/>
      <c r="C300" s="1"/>
      <c r="D300" s="10"/>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0"/>
      <c r="C301" s="1"/>
      <c r="D301" s="10"/>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0"/>
      <c r="C302" s="1"/>
      <c r="D302" s="10"/>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0"/>
      <c r="C303" s="1"/>
      <c r="D303" s="10"/>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0"/>
      <c r="C304" s="1"/>
      <c r="D304" s="10"/>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0"/>
      <c r="C305" s="1"/>
      <c r="D305" s="10"/>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0"/>
      <c r="C306" s="1"/>
      <c r="D306" s="10"/>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0"/>
      <c r="C307" s="1"/>
      <c r="D307" s="10"/>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0"/>
      <c r="C308" s="1"/>
      <c r="D308" s="10"/>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0"/>
      <c r="C309" s="1"/>
      <c r="D309" s="10"/>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0"/>
      <c r="C310" s="1"/>
      <c r="D310" s="10"/>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0"/>
      <c r="C311" s="1"/>
      <c r="D311" s="10"/>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0"/>
      <c r="C312" s="1"/>
      <c r="D312" s="10"/>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0"/>
      <c r="C313" s="1"/>
      <c r="D313" s="10"/>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0"/>
      <c r="C314" s="1"/>
      <c r="D314" s="10"/>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0"/>
      <c r="C315" s="1"/>
      <c r="D315" s="10"/>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0"/>
      <c r="C316" s="1"/>
      <c r="D316" s="10"/>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0"/>
      <c r="C317" s="1"/>
      <c r="D317" s="10"/>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0"/>
      <c r="C318" s="1"/>
      <c r="D318" s="10"/>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0"/>
      <c r="C319" s="1"/>
      <c r="D319" s="10"/>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0"/>
      <c r="C320" s="1"/>
      <c r="D320" s="10"/>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0"/>
      <c r="C321" s="1"/>
      <c r="D321" s="10"/>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0"/>
      <c r="C322" s="1"/>
      <c r="D322" s="10"/>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0"/>
      <c r="C323" s="1"/>
      <c r="D323" s="10"/>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0"/>
      <c r="C324" s="1"/>
      <c r="D324" s="10"/>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0"/>
      <c r="C325" s="1"/>
      <c r="D325" s="10"/>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0"/>
      <c r="C326" s="1"/>
      <c r="D326" s="10"/>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0"/>
      <c r="C327" s="1"/>
      <c r="D327" s="10"/>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0"/>
      <c r="C328" s="1"/>
      <c r="D328" s="10"/>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0"/>
      <c r="C329" s="1"/>
      <c r="D329" s="10"/>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0"/>
      <c r="C330" s="1"/>
      <c r="D330" s="10"/>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0"/>
      <c r="C331" s="1"/>
      <c r="D331" s="10"/>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0"/>
      <c r="C332" s="1"/>
      <c r="D332" s="10"/>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0"/>
      <c r="C333" s="1"/>
      <c r="D333" s="10"/>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0"/>
      <c r="C334" s="1"/>
      <c r="D334" s="10"/>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0"/>
      <c r="C335" s="1"/>
      <c r="D335" s="10"/>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0"/>
      <c r="C336" s="1"/>
      <c r="D336" s="10"/>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0"/>
      <c r="C337" s="1"/>
      <c r="D337" s="10"/>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0"/>
      <c r="C338" s="1"/>
      <c r="D338" s="10"/>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0"/>
      <c r="C339" s="1"/>
      <c r="D339" s="10"/>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0"/>
      <c r="C340" s="1"/>
      <c r="D340" s="10"/>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0"/>
      <c r="C341" s="1"/>
      <c r="D341" s="10"/>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0"/>
      <c r="C342" s="1"/>
      <c r="D342" s="10"/>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0"/>
      <c r="C343" s="1"/>
      <c r="D343" s="10"/>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0"/>
      <c r="C344" s="1"/>
      <c r="D344" s="10"/>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0"/>
      <c r="C345" s="1"/>
      <c r="D345" s="10"/>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0"/>
      <c r="C346" s="1"/>
      <c r="D346" s="10"/>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0"/>
      <c r="C347" s="1"/>
      <c r="D347" s="10"/>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0"/>
      <c r="C348" s="1"/>
      <c r="D348" s="10"/>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0"/>
      <c r="C349" s="1"/>
      <c r="D349" s="10"/>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0"/>
      <c r="C350" s="1"/>
      <c r="D350" s="10"/>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0"/>
      <c r="C351" s="1"/>
      <c r="D351" s="10"/>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0"/>
      <c r="C352" s="1"/>
      <c r="D352" s="10"/>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0"/>
      <c r="C353" s="1"/>
      <c r="D353" s="10"/>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0"/>
      <c r="C354" s="1"/>
      <c r="D354" s="10"/>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0"/>
      <c r="C355" s="1"/>
      <c r="D355" s="10"/>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0"/>
      <c r="C356" s="1"/>
      <c r="D356" s="10"/>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0"/>
      <c r="C357" s="1"/>
      <c r="D357" s="10"/>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0"/>
      <c r="C358" s="1"/>
      <c r="D358" s="10"/>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0"/>
      <c r="C359" s="1"/>
      <c r="D359" s="10"/>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0"/>
      <c r="C360" s="1"/>
      <c r="D360" s="10"/>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0"/>
      <c r="C361" s="1"/>
      <c r="D361" s="10"/>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0"/>
      <c r="C362" s="1"/>
      <c r="D362" s="10"/>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0"/>
      <c r="C363" s="1"/>
      <c r="D363" s="10"/>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0"/>
      <c r="C364" s="1"/>
      <c r="D364" s="10"/>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0"/>
      <c r="C365" s="1"/>
      <c r="D365" s="10"/>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0"/>
      <c r="C366" s="1"/>
      <c r="D366" s="10"/>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0"/>
      <c r="C367" s="1"/>
      <c r="D367" s="10"/>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0"/>
      <c r="C368" s="1"/>
      <c r="D368" s="10"/>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0"/>
      <c r="C369" s="1"/>
      <c r="D369" s="10"/>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0"/>
      <c r="C370" s="1"/>
      <c r="D370" s="10"/>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0"/>
      <c r="C371" s="1"/>
      <c r="D371" s="10"/>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0"/>
      <c r="C372" s="1"/>
      <c r="D372" s="10"/>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0"/>
      <c r="C373" s="1"/>
      <c r="D373" s="10"/>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0"/>
      <c r="C374" s="1"/>
      <c r="D374" s="10"/>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0"/>
      <c r="C375" s="1"/>
      <c r="D375" s="10"/>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0"/>
      <c r="C376" s="1"/>
      <c r="D376" s="10"/>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0"/>
      <c r="C377" s="1"/>
      <c r="D377" s="10"/>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0"/>
      <c r="C378" s="1"/>
      <c r="D378" s="10"/>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0"/>
      <c r="C379" s="1"/>
      <c r="D379" s="10"/>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0"/>
      <c r="C380" s="1"/>
      <c r="D380" s="10"/>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0"/>
      <c r="C381" s="1"/>
      <c r="D381" s="10"/>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0"/>
      <c r="C382" s="1"/>
      <c r="D382" s="10"/>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0"/>
      <c r="C383" s="1"/>
      <c r="D383" s="10"/>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0"/>
      <c r="C384" s="1"/>
      <c r="D384" s="10"/>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0"/>
      <c r="C385" s="1"/>
      <c r="D385" s="10"/>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0"/>
      <c r="C386" s="1"/>
      <c r="D386" s="10"/>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0"/>
      <c r="C387" s="1"/>
      <c r="D387" s="10"/>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0"/>
      <c r="C388" s="1"/>
      <c r="D388" s="10"/>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0"/>
      <c r="C389" s="1"/>
      <c r="D389" s="10"/>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0"/>
      <c r="C390" s="1"/>
      <c r="D390" s="10"/>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0"/>
      <c r="C391" s="1"/>
      <c r="D391" s="10"/>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0"/>
      <c r="C392" s="1"/>
      <c r="D392" s="10"/>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0"/>
      <c r="C393" s="1"/>
      <c r="D393" s="10"/>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0"/>
      <c r="C394" s="1"/>
      <c r="D394" s="10"/>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0"/>
      <c r="C395" s="1"/>
      <c r="D395" s="10"/>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0"/>
      <c r="C396" s="1"/>
      <c r="D396" s="10"/>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0"/>
      <c r="C397" s="1"/>
      <c r="D397" s="10"/>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0"/>
      <c r="C398" s="1"/>
      <c r="D398" s="10"/>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0"/>
      <c r="C399" s="1"/>
      <c r="D399" s="10"/>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0"/>
      <c r="C400" s="1"/>
      <c r="D400" s="10"/>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0"/>
      <c r="C401" s="1"/>
      <c r="D401" s="10"/>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0"/>
      <c r="C402" s="1"/>
      <c r="D402" s="10"/>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0"/>
      <c r="C403" s="1"/>
      <c r="D403" s="10"/>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0"/>
      <c r="C404" s="1"/>
      <c r="D404" s="10"/>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0"/>
      <c r="C405" s="1"/>
      <c r="D405" s="10"/>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0"/>
      <c r="C406" s="1"/>
      <c r="D406" s="10"/>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0"/>
      <c r="C407" s="1"/>
      <c r="D407" s="10"/>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0"/>
      <c r="C408" s="1"/>
      <c r="D408" s="10"/>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0"/>
      <c r="C409" s="1"/>
      <c r="D409" s="10"/>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0"/>
      <c r="C410" s="1"/>
      <c r="D410" s="10"/>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0"/>
      <c r="C411" s="1"/>
      <c r="D411" s="10"/>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0"/>
      <c r="C412" s="1"/>
      <c r="D412" s="10"/>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0"/>
      <c r="C413" s="1"/>
      <c r="D413" s="10"/>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0"/>
      <c r="C414" s="1"/>
      <c r="D414" s="10"/>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0"/>
      <c r="C415" s="1"/>
      <c r="D415" s="10"/>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0"/>
      <c r="C416" s="1"/>
      <c r="D416" s="10"/>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0"/>
      <c r="C417" s="1"/>
      <c r="D417" s="10"/>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0"/>
      <c r="C418" s="1"/>
      <c r="D418" s="10"/>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0"/>
      <c r="C419" s="1"/>
      <c r="D419" s="10"/>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0"/>
      <c r="C420" s="1"/>
      <c r="D420" s="10"/>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0"/>
      <c r="C421" s="1"/>
      <c r="D421" s="10"/>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0"/>
      <c r="C422" s="1"/>
      <c r="D422" s="10"/>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0"/>
      <c r="C423" s="1"/>
      <c r="D423" s="10"/>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0"/>
      <c r="C424" s="1"/>
      <c r="D424" s="10"/>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0"/>
      <c r="C425" s="1"/>
      <c r="D425" s="10"/>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0"/>
      <c r="C426" s="1"/>
      <c r="D426" s="10"/>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0"/>
      <c r="C427" s="1"/>
      <c r="D427" s="10"/>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0"/>
      <c r="C428" s="1"/>
      <c r="D428" s="10"/>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0"/>
      <c r="C429" s="1"/>
      <c r="D429" s="10"/>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0"/>
      <c r="C430" s="1"/>
      <c r="D430" s="10"/>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0"/>
      <c r="C431" s="1"/>
      <c r="D431" s="10"/>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0"/>
      <c r="C432" s="1"/>
      <c r="D432" s="10"/>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0"/>
      <c r="C433" s="1"/>
      <c r="D433" s="10"/>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0"/>
      <c r="C434" s="1"/>
      <c r="D434" s="10"/>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0"/>
      <c r="C435" s="1"/>
      <c r="D435" s="10"/>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0"/>
      <c r="C436" s="1"/>
      <c r="D436" s="10"/>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0"/>
      <c r="C437" s="1"/>
      <c r="D437" s="10"/>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0"/>
      <c r="C438" s="1"/>
      <c r="D438" s="10"/>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0"/>
      <c r="C439" s="1"/>
      <c r="D439" s="10"/>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0"/>
      <c r="C440" s="1"/>
      <c r="D440" s="10"/>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0"/>
      <c r="C441" s="1"/>
      <c r="D441" s="10"/>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0"/>
      <c r="C442" s="1"/>
      <c r="D442" s="10"/>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0"/>
      <c r="C443" s="1"/>
      <c r="D443" s="10"/>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0"/>
      <c r="C444" s="1"/>
      <c r="D444" s="10"/>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0"/>
      <c r="C445" s="1"/>
      <c r="D445" s="10"/>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0"/>
      <c r="C446" s="1"/>
      <c r="D446" s="10"/>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0"/>
      <c r="C447" s="1"/>
      <c r="D447" s="10"/>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0"/>
      <c r="C448" s="1"/>
      <c r="D448" s="10"/>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0"/>
      <c r="C449" s="1"/>
      <c r="D449" s="10"/>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0"/>
      <c r="C450" s="1"/>
      <c r="D450" s="10"/>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0"/>
      <c r="C451" s="1"/>
      <c r="D451" s="10"/>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0"/>
      <c r="C452" s="1"/>
      <c r="D452" s="10"/>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0"/>
      <c r="C453" s="1"/>
      <c r="D453" s="10"/>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0"/>
      <c r="C454" s="1"/>
      <c r="D454" s="10"/>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0"/>
      <c r="C455" s="1"/>
      <c r="D455" s="10"/>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0"/>
      <c r="C456" s="1"/>
      <c r="D456" s="10"/>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0"/>
      <c r="C457" s="1"/>
      <c r="D457" s="10"/>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0"/>
      <c r="C458" s="1"/>
      <c r="D458" s="10"/>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0"/>
      <c r="C459" s="1"/>
      <c r="D459" s="10"/>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0"/>
      <c r="C460" s="1"/>
      <c r="D460" s="10"/>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0"/>
      <c r="C461" s="1"/>
      <c r="D461" s="10"/>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0"/>
      <c r="C462" s="1"/>
      <c r="D462" s="10"/>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0"/>
      <c r="C463" s="1"/>
      <c r="D463" s="10"/>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0"/>
      <c r="C464" s="1"/>
      <c r="D464" s="10"/>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0"/>
      <c r="C465" s="1"/>
      <c r="D465" s="10"/>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0"/>
      <c r="C466" s="1"/>
      <c r="D466" s="10"/>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0"/>
      <c r="C467" s="1"/>
      <c r="D467" s="10"/>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0"/>
      <c r="C468" s="1"/>
      <c r="D468" s="10"/>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0"/>
      <c r="C469" s="1"/>
      <c r="D469" s="10"/>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0"/>
      <c r="C470" s="1"/>
      <c r="D470" s="10"/>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0"/>
      <c r="C471" s="1"/>
      <c r="D471" s="10"/>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0"/>
      <c r="C472" s="1"/>
      <c r="D472" s="10"/>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0"/>
      <c r="C473" s="1"/>
      <c r="D473" s="10"/>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0"/>
      <c r="C474" s="1"/>
      <c r="D474" s="10"/>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0"/>
      <c r="C475" s="1"/>
      <c r="D475" s="10"/>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0"/>
      <c r="C476" s="1"/>
      <c r="D476" s="10"/>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0"/>
      <c r="C477" s="1"/>
      <c r="D477" s="10"/>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0"/>
      <c r="C478" s="1"/>
      <c r="D478" s="10"/>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0"/>
      <c r="C479" s="1"/>
      <c r="D479" s="10"/>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0"/>
      <c r="C480" s="1"/>
      <c r="D480" s="10"/>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0"/>
      <c r="C481" s="1"/>
      <c r="D481" s="10"/>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0"/>
      <c r="C482" s="1"/>
      <c r="D482" s="10"/>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0"/>
      <c r="C483" s="1"/>
      <c r="D483" s="10"/>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0"/>
      <c r="C484" s="1"/>
      <c r="D484" s="10"/>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0"/>
      <c r="C485" s="1"/>
      <c r="D485" s="10"/>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0"/>
      <c r="C486" s="1"/>
      <c r="D486" s="10"/>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0"/>
      <c r="C487" s="1"/>
      <c r="D487" s="10"/>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0"/>
      <c r="C488" s="1"/>
      <c r="D488" s="10"/>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0"/>
      <c r="C489" s="1"/>
      <c r="D489" s="10"/>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0"/>
      <c r="C490" s="1"/>
      <c r="D490" s="10"/>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0"/>
      <c r="C491" s="1"/>
      <c r="D491" s="10"/>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0"/>
      <c r="C492" s="1"/>
      <c r="D492" s="10"/>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0"/>
      <c r="C493" s="1"/>
      <c r="D493" s="10"/>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0"/>
      <c r="C494" s="1"/>
      <c r="D494" s="10"/>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0"/>
      <c r="C495" s="1"/>
      <c r="D495" s="10"/>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0"/>
      <c r="C496" s="1"/>
      <c r="D496" s="10"/>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0"/>
      <c r="C497" s="1"/>
      <c r="D497" s="10"/>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0"/>
      <c r="C498" s="1"/>
      <c r="D498" s="10"/>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0"/>
      <c r="C499" s="1"/>
      <c r="D499" s="10"/>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0"/>
      <c r="C500" s="1"/>
      <c r="D500" s="10"/>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0"/>
      <c r="C501" s="1"/>
      <c r="D501" s="10"/>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0"/>
      <c r="C502" s="1"/>
      <c r="D502" s="10"/>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0"/>
      <c r="C503" s="1"/>
      <c r="D503" s="10"/>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0"/>
      <c r="C504" s="1"/>
      <c r="D504" s="10"/>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0"/>
      <c r="C505" s="1"/>
      <c r="D505" s="10"/>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0"/>
      <c r="C506" s="1"/>
      <c r="D506" s="10"/>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0"/>
      <c r="C507" s="1"/>
      <c r="D507" s="10"/>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0"/>
      <c r="C508" s="1"/>
      <c r="D508" s="10"/>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0"/>
      <c r="C509" s="1"/>
      <c r="D509" s="10"/>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0"/>
      <c r="C510" s="1"/>
      <c r="D510" s="10"/>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0"/>
      <c r="C511" s="1"/>
      <c r="D511" s="10"/>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0"/>
      <c r="C512" s="1"/>
      <c r="D512" s="10"/>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0"/>
      <c r="C513" s="1"/>
      <c r="D513" s="10"/>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0"/>
      <c r="C514" s="1"/>
      <c r="D514" s="10"/>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0"/>
      <c r="C515" s="1"/>
      <c r="D515" s="10"/>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0"/>
      <c r="C516" s="1"/>
      <c r="D516" s="10"/>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0"/>
      <c r="C517" s="1"/>
      <c r="D517" s="10"/>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0"/>
      <c r="C518" s="1"/>
      <c r="D518" s="10"/>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0"/>
      <c r="C519" s="1"/>
      <c r="D519" s="10"/>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0"/>
      <c r="C520" s="1"/>
      <c r="D520" s="10"/>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0"/>
      <c r="C521" s="1"/>
      <c r="D521" s="10"/>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0"/>
      <c r="C522" s="1"/>
      <c r="D522" s="10"/>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0"/>
      <c r="C523" s="1"/>
      <c r="D523" s="10"/>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0"/>
      <c r="C524" s="1"/>
      <c r="D524" s="10"/>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0"/>
      <c r="C525" s="1"/>
      <c r="D525" s="10"/>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0"/>
      <c r="C526" s="1"/>
      <c r="D526" s="10"/>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0"/>
      <c r="C527" s="1"/>
      <c r="D527" s="10"/>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0"/>
      <c r="C528" s="1"/>
      <c r="D528" s="10"/>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0"/>
      <c r="C529" s="1"/>
      <c r="D529" s="10"/>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0"/>
      <c r="C530" s="1"/>
      <c r="D530" s="10"/>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0"/>
      <c r="C531" s="1"/>
      <c r="D531" s="10"/>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0"/>
      <c r="C532" s="1"/>
      <c r="D532" s="10"/>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0"/>
      <c r="C533" s="1"/>
      <c r="D533" s="10"/>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0"/>
      <c r="C534" s="1"/>
      <c r="D534" s="10"/>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0"/>
      <c r="C535" s="1"/>
      <c r="D535" s="10"/>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0"/>
      <c r="C536" s="1"/>
      <c r="D536" s="10"/>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0"/>
      <c r="C537" s="1"/>
      <c r="D537" s="10"/>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0"/>
      <c r="C538" s="1"/>
      <c r="D538" s="10"/>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0"/>
      <c r="C539" s="1"/>
      <c r="D539" s="10"/>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0"/>
      <c r="C540" s="1"/>
      <c r="D540" s="10"/>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0"/>
      <c r="C541" s="1"/>
      <c r="D541" s="10"/>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0"/>
      <c r="C542" s="1"/>
      <c r="D542" s="10"/>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0"/>
      <c r="C543" s="1"/>
      <c r="D543" s="10"/>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0"/>
      <c r="C544" s="1"/>
      <c r="D544" s="10"/>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0"/>
      <c r="C545" s="1"/>
      <c r="D545" s="10"/>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0"/>
      <c r="C546" s="1"/>
      <c r="D546" s="10"/>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0"/>
      <c r="C547" s="1"/>
      <c r="D547" s="10"/>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0"/>
      <c r="C548" s="1"/>
      <c r="D548" s="10"/>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0"/>
      <c r="C549" s="1"/>
      <c r="D549" s="10"/>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0"/>
      <c r="C550" s="1"/>
      <c r="D550" s="10"/>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0"/>
      <c r="C551" s="1"/>
      <c r="D551" s="10"/>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0"/>
      <c r="C552" s="1"/>
      <c r="D552" s="10"/>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0"/>
      <c r="C553" s="1"/>
      <c r="D553" s="10"/>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0"/>
      <c r="C554" s="1"/>
      <c r="D554" s="10"/>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0"/>
      <c r="C555" s="1"/>
      <c r="D555" s="10"/>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0"/>
      <c r="C556" s="1"/>
      <c r="D556" s="10"/>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0"/>
      <c r="C557" s="1"/>
      <c r="D557" s="10"/>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0"/>
      <c r="C558" s="1"/>
      <c r="D558" s="10"/>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0"/>
      <c r="C559" s="1"/>
      <c r="D559" s="10"/>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0"/>
      <c r="C560" s="1"/>
      <c r="D560" s="10"/>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0"/>
      <c r="C561" s="1"/>
      <c r="D561" s="10"/>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0"/>
      <c r="C562" s="1"/>
      <c r="D562" s="10"/>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0"/>
      <c r="C563" s="1"/>
      <c r="D563" s="10"/>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0"/>
      <c r="C564" s="1"/>
      <c r="D564" s="10"/>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0"/>
      <c r="C565" s="1"/>
      <c r="D565" s="10"/>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0"/>
      <c r="C566" s="1"/>
      <c r="D566" s="10"/>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0"/>
      <c r="C567" s="1"/>
      <c r="D567" s="10"/>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0"/>
      <c r="C568" s="1"/>
      <c r="D568" s="10"/>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0"/>
      <c r="C569" s="1"/>
      <c r="D569" s="10"/>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0"/>
      <c r="C570" s="1"/>
      <c r="D570" s="10"/>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0"/>
      <c r="C571" s="1"/>
      <c r="D571" s="10"/>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0"/>
      <c r="C572" s="1"/>
      <c r="D572" s="10"/>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0"/>
      <c r="C573" s="1"/>
      <c r="D573" s="10"/>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0"/>
      <c r="C574" s="1"/>
      <c r="D574" s="10"/>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0"/>
      <c r="C575" s="1"/>
      <c r="D575" s="10"/>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0"/>
      <c r="C576" s="1"/>
      <c r="D576" s="10"/>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0"/>
      <c r="C577" s="1"/>
      <c r="D577" s="10"/>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0"/>
      <c r="C578" s="1"/>
      <c r="D578" s="10"/>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0"/>
      <c r="C579" s="1"/>
      <c r="D579" s="10"/>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0"/>
      <c r="C580" s="1"/>
      <c r="D580" s="10"/>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0"/>
      <c r="C581" s="1"/>
      <c r="D581" s="10"/>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0"/>
      <c r="C582" s="1"/>
      <c r="D582" s="10"/>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0"/>
      <c r="C583" s="1"/>
      <c r="D583" s="10"/>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0"/>
      <c r="C584" s="1"/>
      <c r="D584" s="10"/>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0"/>
      <c r="C585" s="1"/>
      <c r="D585" s="10"/>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0"/>
      <c r="C586" s="1"/>
      <c r="D586" s="10"/>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0"/>
      <c r="C587" s="1"/>
      <c r="D587" s="10"/>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0"/>
      <c r="C588" s="1"/>
      <c r="D588" s="10"/>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0"/>
      <c r="C589" s="1"/>
      <c r="D589" s="10"/>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0"/>
      <c r="C590" s="1"/>
      <c r="D590" s="10"/>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0"/>
      <c r="C591" s="1"/>
      <c r="D591" s="10"/>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0"/>
      <c r="C592" s="1"/>
      <c r="D592" s="10"/>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0"/>
      <c r="C593" s="1"/>
      <c r="D593" s="10"/>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0"/>
      <c r="C594" s="1"/>
      <c r="D594" s="10"/>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0"/>
      <c r="C595" s="1"/>
      <c r="D595" s="10"/>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0"/>
      <c r="C596" s="1"/>
      <c r="D596" s="10"/>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0"/>
      <c r="C597" s="1"/>
      <c r="D597" s="10"/>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0"/>
      <c r="C598" s="1"/>
      <c r="D598" s="10"/>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0"/>
      <c r="C599" s="1"/>
      <c r="D599" s="10"/>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0"/>
      <c r="C600" s="1"/>
      <c r="D600" s="10"/>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0"/>
      <c r="C601" s="1"/>
      <c r="D601" s="10"/>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0"/>
      <c r="C602" s="1"/>
      <c r="D602" s="10"/>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0"/>
      <c r="C603" s="1"/>
      <c r="D603" s="10"/>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0"/>
      <c r="C604" s="1"/>
      <c r="D604" s="10"/>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0"/>
      <c r="C605" s="1"/>
      <c r="D605" s="10"/>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0"/>
      <c r="C606" s="1"/>
      <c r="D606" s="10"/>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0"/>
      <c r="C607" s="1"/>
      <c r="D607" s="10"/>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0"/>
      <c r="C608" s="1"/>
      <c r="D608" s="10"/>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0"/>
      <c r="C609" s="1"/>
      <c r="D609" s="10"/>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0"/>
      <c r="C610" s="1"/>
      <c r="D610" s="10"/>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0"/>
      <c r="C611" s="1"/>
      <c r="D611" s="10"/>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0"/>
      <c r="C612" s="1"/>
      <c r="D612" s="10"/>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0"/>
      <c r="C613" s="1"/>
      <c r="D613" s="10"/>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0"/>
      <c r="C614" s="1"/>
      <c r="D614" s="10"/>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0"/>
      <c r="C615" s="1"/>
      <c r="D615" s="10"/>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0"/>
      <c r="C616" s="1"/>
      <c r="D616" s="10"/>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0"/>
      <c r="C617" s="1"/>
      <c r="D617" s="10"/>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0"/>
      <c r="C618" s="1"/>
      <c r="D618" s="10"/>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0"/>
      <c r="C619" s="1"/>
      <c r="D619" s="10"/>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0"/>
      <c r="C620" s="1"/>
      <c r="D620" s="10"/>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0"/>
      <c r="C621" s="1"/>
      <c r="D621" s="10"/>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0"/>
      <c r="C622" s="1"/>
      <c r="D622" s="10"/>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0"/>
      <c r="C623" s="1"/>
      <c r="D623" s="10"/>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0"/>
      <c r="C624" s="1"/>
      <c r="D624" s="10"/>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0"/>
      <c r="C625" s="1"/>
      <c r="D625" s="10"/>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0"/>
      <c r="C626" s="1"/>
      <c r="D626" s="10"/>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0"/>
      <c r="C627" s="1"/>
      <c r="D627" s="10"/>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0"/>
      <c r="C628" s="1"/>
      <c r="D628" s="10"/>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0"/>
      <c r="C629" s="1"/>
      <c r="D629" s="10"/>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0"/>
      <c r="C630" s="1"/>
      <c r="D630" s="10"/>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0"/>
      <c r="C631" s="1"/>
      <c r="D631" s="10"/>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0"/>
      <c r="C632" s="1"/>
      <c r="D632" s="10"/>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0"/>
      <c r="C633" s="1"/>
      <c r="D633" s="10"/>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0"/>
      <c r="C634" s="1"/>
      <c r="D634" s="10"/>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0"/>
      <c r="C635" s="1"/>
      <c r="D635" s="10"/>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0"/>
      <c r="C636" s="1"/>
      <c r="D636" s="10"/>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0"/>
      <c r="C637" s="1"/>
      <c r="D637" s="10"/>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0"/>
      <c r="C638" s="1"/>
      <c r="D638" s="10"/>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0"/>
      <c r="C639" s="1"/>
      <c r="D639" s="10"/>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0"/>
      <c r="C640" s="1"/>
      <c r="D640" s="10"/>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0"/>
      <c r="C641" s="1"/>
      <c r="D641" s="10"/>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0"/>
      <c r="C642" s="1"/>
      <c r="D642" s="10"/>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0"/>
      <c r="C643" s="1"/>
      <c r="D643" s="10"/>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0"/>
      <c r="C644" s="1"/>
      <c r="D644" s="10"/>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0"/>
      <c r="C645" s="1"/>
      <c r="D645" s="10"/>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0"/>
      <c r="C646" s="1"/>
      <c r="D646" s="10"/>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0"/>
      <c r="C647" s="1"/>
      <c r="D647" s="10"/>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0"/>
      <c r="C648" s="1"/>
      <c r="D648" s="10"/>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0"/>
      <c r="C649" s="1"/>
      <c r="D649" s="10"/>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0"/>
      <c r="C650" s="1"/>
      <c r="D650" s="10"/>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0"/>
      <c r="C651" s="1"/>
      <c r="D651" s="10"/>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0"/>
      <c r="C652" s="1"/>
      <c r="D652" s="10"/>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0"/>
      <c r="C653" s="1"/>
      <c r="D653" s="10"/>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0"/>
      <c r="C654" s="1"/>
      <c r="D654" s="10"/>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0"/>
      <c r="C655" s="1"/>
      <c r="D655" s="10"/>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0"/>
      <c r="C656" s="1"/>
      <c r="D656" s="10"/>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0"/>
      <c r="C657" s="1"/>
      <c r="D657" s="10"/>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0"/>
      <c r="C658" s="1"/>
      <c r="D658" s="10"/>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0"/>
      <c r="C659" s="1"/>
      <c r="D659" s="10"/>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0"/>
      <c r="C660" s="1"/>
      <c r="D660" s="10"/>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0"/>
      <c r="C661" s="1"/>
      <c r="D661" s="10"/>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0"/>
      <c r="C662" s="1"/>
      <c r="D662" s="10"/>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0"/>
      <c r="C663" s="1"/>
      <c r="D663" s="10"/>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0"/>
      <c r="C664" s="1"/>
      <c r="D664" s="10"/>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0"/>
      <c r="C665" s="1"/>
      <c r="D665" s="10"/>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0"/>
      <c r="C666" s="1"/>
      <c r="D666" s="10"/>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0"/>
      <c r="C667" s="1"/>
      <c r="D667" s="10"/>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0"/>
      <c r="C668" s="1"/>
      <c r="D668" s="10"/>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0"/>
      <c r="C669" s="1"/>
      <c r="D669" s="10"/>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0"/>
      <c r="C670" s="1"/>
      <c r="D670" s="10"/>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0"/>
      <c r="C671" s="1"/>
      <c r="D671" s="10"/>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0"/>
      <c r="C672" s="1"/>
      <c r="D672" s="10"/>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0"/>
      <c r="C673" s="1"/>
      <c r="D673" s="10"/>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0"/>
      <c r="C674" s="1"/>
      <c r="D674" s="10"/>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0"/>
      <c r="C675" s="1"/>
      <c r="D675" s="10"/>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0"/>
      <c r="C676" s="1"/>
      <c r="D676" s="10"/>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0"/>
      <c r="C677" s="1"/>
      <c r="D677" s="10"/>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0"/>
      <c r="C678" s="1"/>
      <c r="D678" s="10"/>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0"/>
      <c r="C679" s="1"/>
      <c r="D679" s="10"/>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0"/>
      <c r="C680" s="1"/>
      <c r="D680" s="10"/>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0"/>
      <c r="C681" s="1"/>
      <c r="D681" s="10"/>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0"/>
      <c r="C682" s="1"/>
      <c r="D682" s="10"/>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0"/>
      <c r="C683" s="1"/>
      <c r="D683" s="10"/>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0"/>
      <c r="C684" s="1"/>
      <c r="D684" s="10"/>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0"/>
      <c r="C685" s="1"/>
      <c r="D685" s="10"/>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0"/>
      <c r="C686" s="1"/>
      <c r="D686" s="10"/>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0"/>
      <c r="C687" s="1"/>
      <c r="D687" s="10"/>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0"/>
      <c r="C688" s="1"/>
      <c r="D688" s="10"/>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0"/>
      <c r="C689" s="1"/>
      <c r="D689" s="10"/>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0"/>
      <c r="C690" s="1"/>
      <c r="D690" s="10"/>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0"/>
      <c r="C691" s="1"/>
      <c r="D691" s="10"/>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0"/>
      <c r="C692" s="1"/>
      <c r="D692" s="10"/>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0"/>
      <c r="C693" s="1"/>
      <c r="D693" s="10"/>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0"/>
      <c r="C694" s="1"/>
      <c r="D694" s="10"/>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0"/>
      <c r="C695" s="1"/>
      <c r="D695" s="10"/>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0"/>
      <c r="C696" s="1"/>
      <c r="D696" s="10"/>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0"/>
      <c r="C697" s="1"/>
      <c r="D697" s="10"/>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0"/>
      <c r="C698" s="1"/>
      <c r="D698" s="10"/>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0"/>
      <c r="C699" s="1"/>
      <c r="D699" s="10"/>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0"/>
      <c r="C700" s="1"/>
      <c r="D700" s="10"/>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0"/>
      <c r="C701" s="1"/>
      <c r="D701" s="10"/>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0"/>
      <c r="C702" s="1"/>
      <c r="D702" s="10"/>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0"/>
      <c r="C703" s="1"/>
      <c r="D703" s="10"/>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0"/>
      <c r="C704" s="1"/>
      <c r="D704" s="10"/>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0"/>
      <c r="C705" s="1"/>
      <c r="D705" s="10"/>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0"/>
      <c r="C706" s="1"/>
      <c r="D706" s="10"/>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0"/>
      <c r="C707" s="1"/>
      <c r="D707" s="10"/>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0"/>
      <c r="C708" s="1"/>
      <c r="D708" s="10"/>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0"/>
      <c r="C709" s="1"/>
      <c r="D709" s="10"/>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0"/>
      <c r="C710" s="1"/>
      <c r="D710" s="10"/>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0"/>
      <c r="C711" s="1"/>
      <c r="D711" s="10"/>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0"/>
      <c r="C712" s="1"/>
      <c r="D712" s="10"/>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0"/>
      <c r="C713" s="1"/>
      <c r="D713" s="10"/>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0"/>
      <c r="C714" s="1"/>
      <c r="D714" s="10"/>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0"/>
      <c r="C715" s="1"/>
      <c r="D715" s="10"/>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0"/>
      <c r="C716" s="1"/>
      <c r="D716" s="10"/>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0"/>
      <c r="C717" s="1"/>
      <c r="D717" s="10"/>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0"/>
      <c r="C718" s="1"/>
      <c r="D718" s="10"/>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0"/>
      <c r="C719" s="1"/>
      <c r="D719" s="10"/>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0"/>
      <c r="C720" s="1"/>
      <c r="D720" s="10"/>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0"/>
      <c r="C721" s="1"/>
      <c r="D721" s="10"/>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0"/>
      <c r="C722" s="1"/>
      <c r="D722" s="10"/>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0"/>
      <c r="C723" s="1"/>
      <c r="D723" s="10"/>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0"/>
      <c r="C724" s="1"/>
      <c r="D724" s="10"/>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0"/>
      <c r="C725" s="1"/>
      <c r="D725" s="10"/>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0"/>
      <c r="C726" s="1"/>
      <c r="D726" s="10"/>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0"/>
      <c r="C727" s="1"/>
      <c r="D727" s="10"/>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0"/>
      <c r="C728" s="1"/>
      <c r="D728" s="10"/>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0"/>
      <c r="C729" s="1"/>
      <c r="D729" s="10"/>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0"/>
      <c r="C730" s="1"/>
      <c r="D730" s="10"/>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0"/>
      <c r="C731" s="1"/>
      <c r="D731" s="10"/>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0"/>
      <c r="C732" s="1"/>
      <c r="D732" s="10"/>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0"/>
      <c r="C733" s="1"/>
      <c r="D733" s="10"/>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0"/>
      <c r="C734" s="1"/>
      <c r="D734" s="10"/>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0"/>
      <c r="C735" s="1"/>
      <c r="D735" s="10"/>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0"/>
      <c r="C736" s="1"/>
      <c r="D736" s="10"/>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0"/>
      <c r="C737" s="1"/>
      <c r="D737" s="10"/>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0"/>
      <c r="C738" s="1"/>
      <c r="D738" s="10"/>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0"/>
      <c r="C739" s="1"/>
      <c r="D739" s="10"/>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0"/>
      <c r="C740" s="1"/>
      <c r="D740" s="10"/>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0"/>
      <c r="C741" s="1"/>
      <c r="D741" s="10"/>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0"/>
      <c r="C742" s="1"/>
      <c r="D742" s="10"/>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0"/>
      <c r="C743" s="1"/>
      <c r="D743" s="10"/>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0"/>
      <c r="C744" s="1"/>
      <c r="D744" s="10"/>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0"/>
      <c r="C745" s="1"/>
      <c r="D745" s="10"/>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0"/>
      <c r="C746" s="1"/>
      <c r="D746" s="10"/>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0"/>
      <c r="C747" s="1"/>
      <c r="D747" s="10"/>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0"/>
      <c r="C748" s="1"/>
      <c r="D748" s="10"/>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0"/>
      <c r="C749" s="1"/>
      <c r="D749" s="10"/>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0"/>
      <c r="C750" s="1"/>
      <c r="D750" s="10"/>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0"/>
      <c r="C751" s="1"/>
      <c r="D751" s="10"/>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0"/>
      <c r="C752" s="1"/>
      <c r="D752" s="10"/>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0"/>
      <c r="C753" s="1"/>
      <c r="D753" s="10"/>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0"/>
      <c r="C754" s="1"/>
      <c r="D754" s="10"/>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0"/>
      <c r="C755" s="1"/>
      <c r="D755" s="10"/>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0"/>
      <c r="C756" s="1"/>
      <c r="D756" s="10"/>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0"/>
      <c r="C757" s="1"/>
      <c r="D757" s="10"/>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0"/>
      <c r="C758" s="1"/>
      <c r="D758" s="10"/>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0"/>
      <c r="C759" s="1"/>
      <c r="D759" s="10"/>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0"/>
      <c r="C760" s="1"/>
      <c r="D760" s="10"/>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0"/>
      <c r="C761" s="1"/>
      <c r="D761" s="10"/>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0"/>
      <c r="C762" s="1"/>
      <c r="D762" s="10"/>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0"/>
      <c r="C763" s="1"/>
      <c r="D763" s="10"/>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0"/>
      <c r="C764" s="1"/>
      <c r="D764" s="10"/>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0"/>
      <c r="C765" s="1"/>
      <c r="D765" s="10"/>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0"/>
      <c r="C766" s="1"/>
      <c r="D766" s="10"/>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0"/>
      <c r="C767" s="1"/>
      <c r="D767" s="10"/>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0"/>
      <c r="C768" s="1"/>
      <c r="D768" s="10"/>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0"/>
      <c r="C769" s="1"/>
      <c r="D769" s="10"/>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0"/>
      <c r="C770" s="1"/>
      <c r="D770" s="10"/>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0"/>
      <c r="C771" s="1"/>
      <c r="D771" s="10"/>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0"/>
      <c r="C772" s="1"/>
      <c r="D772" s="10"/>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0"/>
      <c r="C773" s="1"/>
      <c r="D773" s="10"/>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0"/>
      <c r="C774" s="1"/>
      <c r="D774" s="10"/>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0"/>
      <c r="C775" s="1"/>
      <c r="D775" s="10"/>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0"/>
      <c r="C776" s="1"/>
      <c r="D776" s="10"/>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0"/>
      <c r="C777" s="1"/>
      <c r="D777" s="10"/>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0"/>
      <c r="C778" s="1"/>
      <c r="D778" s="10"/>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0"/>
      <c r="C779" s="1"/>
      <c r="D779" s="10"/>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0"/>
      <c r="C780" s="1"/>
      <c r="D780" s="10"/>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0"/>
      <c r="C781" s="1"/>
      <c r="D781" s="10"/>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0"/>
      <c r="C782" s="1"/>
      <c r="D782" s="10"/>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0"/>
      <c r="C783" s="1"/>
      <c r="D783" s="10"/>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0"/>
      <c r="C784" s="1"/>
      <c r="D784" s="10"/>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0"/>
      <c r="C785" s="1"/>
      <c r="D785" s="10"/>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0"/>
      <c r="C786" s="1"/>
      <c r="D786" s="10"/>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0"/>
      <c r="C787" s="1"/>
      <c r="D787" s="10"/>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0"/>
      <c r="C788" s="1"/>
      <c r="D788" s="10"/>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0"/>
      <c r="C789" s="1"/>
      <c r="D789" s="10"/>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0"/>
      <c r="C790" s="1"/>
      <c r="D790" s="10"/>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0"/>
      <c r="C791" s="1"/>
      <c r="D791" s="10"/>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0"/>
      <c r="C792" s="1"/>
      <c r="D792" s="10"/>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0"/>
      <c r="C793" s="1"/>
      <c r="D793" s="10"/>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0"/>
      <c r="C794" s="1"/>
      <c r="D794" s="10"/>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0"/>
      <c r="C795" s="1"/>
      <c r="D795" s="10"/>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0"/>
      <c r="C796" s="1"/>
      <c r="D796" s="10"/>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0"/>
      <c r="C797" s="1"/>
      <c r="D797" s="10"/>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0"/>
      <c r="C798" s="1"/>
      <c r="D798" s="10"/>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0"/>
      <c r="C799" s="1"/>
      <c r="D799" s="10"/>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0"/>
      <c r="C800" s="1"/>
      <c r="D800" s="10"/>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0"/>
      <c r="C801" s="1"/>
      <c r="D801" s="10"/>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0"/>
      <c r="C802" s="1"/>
      <c r="D802" s="10"/>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0"/>
      <c r="C803" s="1"/>
      <c r="D803" s="10"/>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0"/>
      <c r="C804" s="1"/>
      <c r="D804" s="10"/>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0"/>
      <c r="C805" s="1"/>
      <c r="D805" s="10"/>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0"/>
      <c r="C806" s="1"/>
      <c r="D806" s="10"/>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0"/>
      <c r="C807" s="1"/>
      <c r="D807" s="10"/>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0"/>
      <c r="C808" s="1"/>
      <c r="D808" s="10"/>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0"/>
      <c r="C809" s="1"/>
      <c r="D809" s="10"/>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0"/>
      <c r="C810" s="1"/>
      <c r="D810" s="10"/>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0"/>
      <c r="C811" s="1"/>
      <c r="D811" s="10"/>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0"/>
      <c r="C812" s="1"/>
      <c r="D812" s="10"/>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0"/>
      <c r="C813" s="1"/>
      <c r="D813" s="10"/>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0"/>
      <c r="C814" s="1"/>
      <c r="D814" s="10"/>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0"/>
      <c r="C815" s="1"/>
      <c r="D815" s="10"/>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0"/>
      <c r="C816" s="1"/>
      <c r="D816" s="10"/>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0"/>
      <c r="C817" s="1"/>
      <c r="D817" s="10"/>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0"/>
      <c r="C818" s="1"/>
      <c r="D818" s="10"/>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0"/>
      <c r="C819" s="1"/>
      <c r="D819" s="10"/>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0"/>
      <c r="C820" s="1"/>
      <c r="D820" s="10"/>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0"/>
      <c r="C821" s="1"/>
      <c r="D821" s="10"/>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0"/>
      <c r="C822" s="1"/>
      <c r="D822" s="10"/>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0"/>
      <c r="C823" s="1"/>
      <c r="D823" s="10"/>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0"/>
      <c r="C824" s="1"/>
      <c r="D824" s="10"/>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0"/>
      <c r="C825" s="1"/>
      <c r="D825" s="10"/>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0"/>
      <c r="C826" s="1"/>
      <c r="D826" s="10"/>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0"/>
      <c r="C827" s="1"/>
      <c r="D827" s="10"/>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0"/>
      <c r="C828" s="1"/>
      <c r="D828" s="10"/>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0"/>
      <c r="C829" s="1"/>
      <c r="D829" s="10"/>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0"/>
      <c r="C830" s="1"/>
      <c r="D830" s="10"/>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0"/>
      <c r="C831" s="1"/>
      <c r="D831" s="10"/>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0"/>
      <c r="C832" s="1"/>
      <c r="D832" s="10"/>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0"/>
      <c r="C833" s="1"/>
      <c r="D833" s="10"/>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0"/>
      <c r="C834" s="1"/>
      <c r="D834" s="10"/>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0"/>
      <c r="C835" s="1"/>
      <c r="D835" s="10"/>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0"/>
      <c r="C836" s="1"/>
      <c r="D836" s="10"/>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0"/>
      <c r="C837" s="1"/>
      <c r="D837" s="10"/>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0"/>
      <c r="C838" s="1"/>
      <c r="D838" s="10"/>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0"/>
      <c r="C839" s="1"/>
      <c r="D839" s="10"/>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0"/>
      <c r="C840" s="1"/>
      <c r="D840" s="10"/>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0"/>
      <c r="C841" s="1"/>
      <c r="D841" s="10"/>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0"/>
      <c r="C842" s="1"/>
      <c r="D842" s="10"/>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0"/>
      <c r="C843" s="1"/>
      <c r="D843" s="10"/>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0"/>
      <c r="C844" s="1"/>
      <c r="D844" s="10"/>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0"/>
      <c r="C845" s="1"/>
      <c r="D845" s="10"/>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0"/>
      <c r="C846" s="1"/>
      <c r="D846" s="10"/>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0"/>
      <c r="C847" s="1"/>
      <c r="D847" s="10"/>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0"/>
      <c r="C848" s="1"/>
      <c r="D848" s="10"/>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0"/>
      <c r="C849" s="1"/>
      <c r="D849" s="10"/>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0"/>
      <c r="C850" s="1"/>
      <c r="D850" s="10"/>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0"/>
      <c r="C851" s="1"/>
      <c r="D851" s="10"/>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0"/>
      <c r="C852" s="1"/>
      <c r="D852" s="10"/>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0"/>
      <c r="C853" s="1"/>
      <c r="D853" s="10"/>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0"/>
      <c r="C854" s="1"/>
      <c r="D854" s="10"/>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0"/>
      <c r="C855" s="1"/>
      <c r="D855" s="10"/>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0"/>
      <c r="C856" s="1"/>
      <c r="D856" s="10"/>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0"/>
      <c r="C857" s="1"/>
      <c r="D857" s="10"/>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0"/>
      <c r="C858" s="1"/>
      <c r="D858" s="10"/>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0"/>
      <c r="C859" s="1"/>
      <c r="D859" s="10"/>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0"/>
      <c r="C860" s="1"/>
      <c r="D860" s="10"/>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0"/>
      <c r="C861" s="1"/>
      <c r="D861" s="10"/>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0"/>
      <c r="C862" s="1"/>
      <c r="D862" s="10"/>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0"/>
      <c r="C863" s="1"/>
      <c r="D863" s="10"/>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0"/>
      <c r="C864" s="1"/>
      <c r="D864" s="10"/>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0"/>
      <c r="C865" s="1"/>
      <c r="D865" s="10"/>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0"/>
      <c r="C866" s="1"/>
      <c r="D866" s="10"/>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0"/>
      <c r="C867" s="1"/>
      <c r="D867" s="10"/>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0"/>
      <c r="C868" s="1"/>
      <c r="D868" s="10"/>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0"/>
      <c r="C869" s="1"/>
      <c r="D869" s="10"/>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0"/>
      <c r="C870" s="1"/>
      <c r="D870" s="10"/>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0"/>
      <c r="C871" s="1"/>
      <c r="D871" s="10"/>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0"/>
      <c r="C872" s="1"/>
      <c r="D872" s="10"/>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0"/>
      <c r="C873" s="1"/>
      <c r="D873" s="10"/>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0"/>
      <c r="C874" s="1"/>
      <c r="D874" s="10"/>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0"/>
      <c r="C875" s="1"/>
      <c r="D875" s="10"/>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0"/>
      <c r="C876" s="1"/>
      <c r="D876" s="10"/>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0"/>
      <c r="C877" s="1"/>
      <c r="D877" s="10"/>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0"/>
      <c r="C878" s="1"/>
      <c r="D878" s="10"/>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0"/>
      <c r="C879" s="1"/>
      <c r="D879" s="10"/>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0"/>
      <c r="C880" s="1"/>
      <c r="D880" s="10"/>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0"/>
      <c r="C881" s="1"/>
      <c r="D881" s="10"/>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0"/>
      <c r="C882" s="1"/>
      <c r="D882" s="10"/>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0"/>
      <c r="C883" s="1"/>
      <c r="D883" s="10"/>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0"/>
      <c r="C884" s="1"/>
      <c r="D884" s="10"/>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0"/>
      <c r="C885" s="1"/>
      <c r="D885" s="10"/>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0"/>
      <c r="C886" s="1"/>
      <c r="D886" s="10"/>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0"/>
      <c r="C887" s="1"/>
      <c r="D887" s="10"/>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0"/>
      <c r="C888" s="1"/>
      <c r="D888" s="10"/>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0"/>
      <c r="C889" s="1"/>
      <c r="D889" s="10"/>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0"/>
      <c r="C890" s="1"/>
      <c r="D890" s="10"/>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0"/>
      <c r="C891" s="1"/>
      <c r="D891" s="10"/>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0"/>
      <c r="C892" s="1"/>
      <c r="D892" s="10"/>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0"/>
      <c r="C893" s="1"/>
      <c r="D893" s="10"/>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0"/>
      <c r="C894" s="1"/>
      <c r="D894" s="10"/>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0"/>
      <c r="C895" s="1"/>
      <c r="D895" s="10"/>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0"/>
      <c r="C896" s="1"/>
      <c r="D896" s="10"/>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0"/>
      <c r="C897" s="1"/>
      <c r="D897" s="10"/>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0"/>
      <c r="C898" s="1"/>
      <c r="D898" s="10"/>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0"/>
      <c r="C899" s="1"/>
      <c r="D899" s="10"/>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0"/>
      <c r="C900" s="1"/>
      <c r="D900" s="10"/>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0"/>
      <c r="C901" s="1"/>
      <c r="D901" s="10"/>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0"/>
      <c r="C902" s="1"/>
      <c r="D902" s="10"/>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0"/>
      <c r="C903" s="1"/>
      <c r="D903" s="10"/>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0"/>
      <c r="C904" s="1"/>
      <c r="D904" s="10"/>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0"/>
      <c r="C905" s="1"/>
      <c r="D905" s="10"/>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0"/>
      <c r="C906" s="1"/>
      <c r="D906" s="10"/>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0"/>
      <c r="C907" s="1"/>
      <c r="D907" s="10"/>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0"/>
      <c r="C908" s="1"/>
      <c r="D908" s="10"/>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0"/>
      <c r="C909" s="1"/>
      <c r="D909" s="10"/>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0"/>
      <c r="C910" s="1"/>
      <c r="D910" s="10"/>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0"/>
      <c r="C911" s="1"/>
      <c r="D911" s="10"/>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0"/>
      <c r="C912" s="1"/>
      <c r="D912" s="10"/>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0"/>
      <c r="C913" s="1"/>
      <c r="D913" s="10"/>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0"/>
      <c r="C914" s="1"/>
      <c r="D914" s="10"/>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0"/>
      <c r="C915" s="1"/>
      <c r="D915" s="10"/>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0"/>
      <c r="C916" s="1"/>
      <c r="D916" s="10"/>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0"/>
      <c r="C917" s="1"/>
      <c r="D917" s="10"/>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0"/>
      <c r="C918" s="1"/>
      <c r="D918" s="10"/>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0"/>
      <c r="C919" s="1"/>
      <c r="D919" s="10"/>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0"/>
      <c r="C920" s="1"/>
      <c r="D920" s="10"/>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0"/>
      <c r="C921" s="1"/>
      <c r="D921" s="10"/>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0"/>
      <c r="C922" s="1"/>
      <c r="D922" s="10"/>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0"/>
      <c r="C923" s="1"/>
      <c r="D923" s="10"/>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0"/>
      <c r="C924" s="1"/>
      <c r="D924" s="10"/>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0"/>
      <c r="C925" s="1"/>
      <c r="D925" s="10"/>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0"/>
      <c r="C926" s="1"/>
      <c r="D926" s="10"/>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0"/>
      <c r="C927" s="1"/>
      <c r="D927" s="10"/>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0"/>
      <c r="C928" s="1"/>
      <c r="D928" s="10"/>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0"/>
      <c r="C929" s="1"/>
      <c r="D929" s="10"/>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0"/>
      <c r="C930" s="1"/>
      <c r="D930" s="10"/>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0"/>
      <c r="C931" s="1"/>
      <c r="D931" s="10"/>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0"/>
      <c r="C932" s="1"/>
      <c r="D932" s="10"/>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0"/>
      <c r="C933" s="1"/>
      <c r="D933" s="10"/>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0"/>
      <c r="C934" s="1"/>
      <c r="D934" s="10"/>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0"/>
      <c r="C935" s="1"/>
      <c r="D935" s="10"/>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0"/>
      <c r="C936" s="1"/>
      <c r="D936" s="10"/>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0"/>
      <c r="C937" s="1"/>
      <c r="D937" s="10"/>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0"/>
      <c r="C938" s="1"/>
      <c r="D938" s="10"/>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0"/>
      <c r="C939" s="1"/>
      <c r="D939" s="10"/>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0"/>
      <c r="C940" s="1"/>
      <c r="D940" s="10"/>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0"/>
      <c r="C941" s="1"/>
      <c r="D941" s="10"/>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0"/>
      <c r="C942" s="1"/>
      <c r="D942" s="10"/>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0"/>
      <c r="C943" s="1"/>
      <c r="D943" s="10"/>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0"/>
      <c r="C944" s="1"/>
      <c r="D944" s="10"/>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0"/>
      <c r="C945" s="1"/>
      <c r="D945" s="10"/>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0"/>
      <c r="C946" s="1"/>
      <c r="D946" s="10"/>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0"/>
      <c r="C947" s="1"/>
      <c r="D947" s="10"/>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0"/>
      <c r="C948" s="1"/>
      <c r="D948" s="10"/>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0"/>
      <c r="C949" s="1"/>
      <c r="D949" s="10"/>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0"/>
      <c r="C950" s="1"/>
      <c r="D950" s="10"/>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0"/>
      <c r="C951" s="1"/>
      <c r="D951" s="10"/>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0"/>
      <c r="C952" s="1"/>
      <c r="D952" s="10"/>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0"/>
      <c r="C953" s="1"/>
      <c r="D953" s="10"/>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0"/>
      <c r="C954" s="1"/>
      <c r="D954" s="10"/>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0"/>
      <c r="C955" s="1"/>
      <c r="D955" s="10"/>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0"/>
      <c r="C956" s="1"/>
      <c r="D956" s="10"/>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0"/>
      <c r="C957" s="1"/>
      <c r="D957" s="10"/>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0"/>
      <c r="C958" s="1"/>
      <c r="D958" s="10"/>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0"/>
      <c r="C959" s="1"/>
      <c r="D959" s="10"/>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0"/>
      <c r="C960" s="1"/>
      <c r="D960" s="10"/>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0"/>
      <c r="C961" s="1"/>
      <c r="D961" s="10"/>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0"/>
      <c r="C962" s="1"/>
      <c r="D962" s="10"/>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0"/>
      <c r="C963" s="1"/>
      <c r="D963" s="10"/>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0"/>
      <c r="C964" s="1"/>
      <c r="D964" s="10"/>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0"/>
      <c r="C965" s="1"/>
      <c r="D965" s="10"/>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0"/>
      <c r="C966" s="1"/>
      <c r="D966" s="10"/>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0"/>
      <c r="C967" s="1"/>
      <c r="D967" s="10"/>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0"/>
      <c r="C968" s="1"/>
      <c r="D968" s="10"/>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0"/>
      <c r="C969" s="1"/>
      <c r="D969" s="10"/>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0"/>
      <c r="C970" s="1"/>
      <c r="D970" s="10"/>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0"/>
      <c r="C971" s="1"/>
      <c r="D971" s="10"/>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0"/>
      <c r="C972" s="1"/>
      <c r="D972" s="10"/>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0"/>
      <c r="C973" s="1"/>
      <c r="D973" s="10"/>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0"/>
      <c r="C974" s="1"/>
      <c r="D974" s="10"/>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0"/>
      <c r="C975" s="1"/>
      <c r="D975" s="10"/>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0"/>
      <c r="C976" s="1"/>
      <c r="D976" s="10"/>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0"/>
      <c r="C977" s="1"/>
      <c r="D977" s="10"/>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0"/>
      <c r="C978" s="1"/>
      <c r="D978" s="10"/>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0"/>
      <c r="C979" s="1"/>
      <c r="D979" s="10"/>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0"/>
      <c r="C980" s="1"/>
      <c r="D980" s="10"/>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0"/>
      <c r="C981" s="1"/>
      <c r="D981" s="10"/>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0"/>
      <c r="C982" s="1"/>
      <c r="D982" s="10"/>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0"/>
      <c r="C983" s="1"/>
      <c r="D983" s="10"/>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0"/>
      <c r="C984" s="1"/>
      <c r="D984" s="10"/>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0"/>
      <c r="C985" s="1"/>
      <c r="D985" s="10"/>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0"/>
      <c r="C986" s="1"/>
      <c r="D986" s="10"/>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0"/>
      <c r="C987" s="1"/>
      <c r="D987" s="10"/>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0"/>
      <c r="C988" s="1"/>
      <c r="D988" s="10"/>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0"/>
      <c r="C989" s="1"/>
      <c r="D989" s="10"/>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0"/>
      <c r="C990" s="1"/>
      <c r="D990" s="10"/>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0"/>
      <c r="C991" s="1"/>
      <c r="D991" s="10"/>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0"/>
      <c r="C992" s="1"/>
      <c r="D992" s="10"/>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0"/>
      <c r="C993" s="1"/>
      <c r="D993" s="10"/>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0"/>
      <c r="C994" s="1"/>
      <c r="D994" s="10"/>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0"/>
      <c r="C995" s="1"/>
      <c r="D995" s="10"/>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0"/>
      <c r="C996" s="1"/>
      <c r="D996" s="10"/>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0"/>
      <c r="C997" s="1"/>
      <c r="D997" s="10"/>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0"/>
      <c r="C998" s="1"/>
      <c r="D998" s="10"/>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0"/>
      <c r="C999" s="1"/>
      <c r="D999" s="10"/>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0"/>
      <c r="C1000" s="1"/>
      <c r="D1000" s="10"/>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D1D1"/>
  </sheetPr>
  <dimension ref="A1:Z1000"/>
  <sheetViews>
    <sheetView topLeftCell="A52" workbookViewId="0"/>
  </sheetViews>
  <sheetFormatPr baseColWidth="10" defaultColWidth="11.125" defaultRowHeight="15" customHeight="1"/>
  <cols>
    <col min="1" max="1" width="8.5" customWidth="1"/>
    <col min="2" max="6" width="18.5" customWidth="1"/>
    <col min="7" max="7" width="8.5" customWidth="1"/>
    <col min="8" max="10" width="18.5" customWidth="1"/>
    <col min="11" max="11" width="14.625" customWidth="1"/>
    <col min="12" max="12" width="9.625" customWidth="1"/>
    <col min="13" max="26" width="8.625" customWidth="1"/>
  </cols>
  <sheetData>
    <row r="1" spans="1:26" ht="15.75" customHeight="1">
      <c r="A1" s="6"/>
      <c r="B1" s="6"/>
      <c r="C1" s="6"/>
      <c r="D1" s="6"/>
      <c r="E1" s="6"/>
      <c r="F1" s="6"/>
      <c r="G1" s="6"/>
      <c r="H1" s="6"/>
      <c r="I1" s="6"/>
      <c r="J1" s="6"/>
      <c r="K1" s="6"/>
      <c r="L1" s="6"/>
      <c r="M1" s="6"/>
      <c r="N1" s="6"/>
      <c r="O1" s="6"/>
      <c r="P1" s="6"/>
      <c r="Q1" s="6"/>
      <c r="R1" s="6"/>
      <c r="S1" s="6"/>
      <c r="T1" s="6"/>
      <c r="U1" s="6"/>
      <c r="V1" s="6"/>
      <c r="W1" s="6"/>
      <c r="X1" s="6"/>
      <c r="Y1" s="6"/>
      <c r="Z1" s="6"/>
    </row>
    <row r="2" spans="1:26" ht="15.75" customHeight="1">
      <c r="A2" s="550" t="s">
        <v>48</v>
      </c>
      <c r="B2" s="516"/>
      <c r="C2" s="516"/>
      <c r="D2" s="516"/>
      <c r="E2" s="516"/>
      <c r="F2" s="516"/>
      <c r="G2" s="516"/>
      <c r="H2" s="516"/>
      <c r="I2" s="516"/>
      <c r="J2" s="516"/>
      <c r="K2" s="517"/>
      <c r="L2" s="6"/>
      <c r="M2" s="6"/>
      <c r="N2" s="6"/>
      <c r="O2" s="6"/>
      <c r="P2" s="6"/>
      <c r="Q2" s="6"/>
      <c r="R2" s="6"/>
      <c r="S2" s="6"/>
      <c r="T2" s="6"/>
      <c r="U2" s="6"/>
      <c r="V2" s="6"/>
      <c r="W2" s="6"/>
      <c r="X2" s="6"/>
      <c r="Y2" s="6"/>
      <c r="Z2" s="6"/>
    </row>
    <row r="3" spans="1:26" ht="15.75" customHeight="1">
      <c r="A3" s="6"/>
      <c r="B3" s="1"/>
      <c r="C3" s="1"/>
      <c r="D3" s="1"/>
      <c r="E3" s="1"/>
      <c r="F3" s="1"/>
      <c r="G3" s="6"/>
      <c r="H3" s="6"/>
      <c r="I3" s="6"/>
      <c r="J3" s="6"/>
      <c r="K3" s="6"/>
      <c r="L3" s="6"/>
      <c r="M3" s="6"/>
      <c r="N3" s="6"/>
      <c r="O3" s="6"/>
      <c r="P3" s="6"/>
      <c r="Q3" s="6"/>
      <c r="R3" s="6"/>
      <c r="S3" s="6"/>
      <c r="T3" s="6"/>
      <c r="U3" s="6"/>
      <c r="V3" s="6"/>
      <c r="W3" s="6"/>
      <c r="X3" s="6"/>
      <c r="Y3" s="6"/>
      <c r="Z3" s="6"/>
    </row>
    <row r="4" spans="1:26" ht="15.75" customHeight="1">
      <c r="A4" s="6"/>
      <c r="B4" s="6"/>
      <c r="C4" s="6"/>
      <c r="D4" s="6"/>
      <c r="E4" s="6"/>
      <c r="F4" s="6"/>
      <c r="G4" s="6"/>
      <c r="H4" s="6"/>
      <c r="I4" s="6"/>
      <c r="J4" s="6"/>
      <c r="K4" s="6"/>
      <c r="L4" s="6"/>
      <c r="M4" s="6"/>
      <c r="N4" s="6"/>
      <c r="O4" s="6"/>
      <c r="P4" s="6"/>
      <c r="Q4" s="6"/>
      <c r="R4" s="6"/>
      <c r="S4" s="6"/>
      <c r="T4" s="6"/>
      <c r="U4" s="6"/>
      <c r="V4" s="6"/>
      <c r="W4" s="6"/>
      <c r="X4" s="6"/>
      <c r="Y4" s="6"/>
      <c r="Z4" s="6"/>
    </row>
    <row r="5" spans="1:26" ht="15.75" customHeight="1">
      <c r="A5" s="551" t="s">
        <v>49</v>
      </c>
      <c r="B5" s="516"/>
      <c r="C5" s="516"/>
      <c r="D5" s="516"/>
      <c r="E5" s="516"/>
      <c r="F5" s="516"/>
      <c r="G5" s="516"/>
      <c r="H5" s="516"/>
      <c r="I5" s="516"/>
      <c r="J5" s="516"/>
      <c r="K5" s="517"/>
      <c r="L5" s="6"/>
      <c r="M5" s="6"/>
      <c r="N5" s="6"/>
      <c r="O5" s="6"/>
      <c r="P5" s="6"/>
      <c r="Q5" s="6"/>
      <c r="R5" s="6"/>
      <c r="S5" s="6"/>
      <c r="T5" s="6"/>
      <c r="U5" s="6"/>
      <c r="V5" s="6"/>
      <c r="W5" s="6"/>
      <c r="X5" s="6"/>
      <c r="Y5" s="6"/>
      <c r="Z5" s="6"/>
    </row>
    <row r="6" spans="1:26" ht="15.75" customHeight="1">
      <c r="A6" s="6"/>
      <c r="B6" s="1"/>
      <c r="C6" s="1"/>
      <c r="D6" s="1"/>
      <c r="E6" s="1"/>
      <c r="F6" s="1"/>
      <c r="G6" s="6"/>
      <c r="H6" s="6"/>
      <c r="I6" s="6"/>
      <c r="J6" s="6"/>
      <c r="K6" s="6"/>
      <c r="L6" s="6"/>
      <c r="M6" s="6"/>
      <c r="N6" s="6"/>
      <c r="O6" s="6"/>
      <c r="P6" s="6"/>
      <c r="Q6" s="6"/>
      <c r="R6" s="6"/>
      <c r="S6" s="6"/>
      <c r="T6" s="6"/>
      <c r="U6" s="6"/>
      <c r="V6" s="6"/>
      <c r="W6" s="6"/>
      <c r="X6" s="6"/>
      <c r="Y6" s="6"/>
      <c r="Z6" s="6"/>
    </row>
    <row r="7" spans="1:26" ht="15.75" customHeight="1">
      <c r="A7" s="6"/>
      <c r="B7" s="11" t="s">
        <v>50</v>
      </c>
      <c r="C7" s="1"/>
      <c r="D7" s="1"/>
      <c r="E7" s="1"/>
      <c r="F7" s="1"/>
      <c r="G7" s="6"/>
      <c r="H7" s="6"/>
      <c r="I7" s="6"/>
      <c r="J7" s="6"/>
      <c r="K7" s="6"/>
      <c r="L7" s="6"/>
      <c r="M7" s="6"/>
      <c r="N7" s="6"/>
      <c r="O7" s="6"/>
      <c r="P7" s="6"/>
      <c r="Q7" s="6"/>
      <c r="R7" s="6"/>
      <c r="S7" s="6"/>
      <c r="T7" s="6"/>
      <c r="U7" s="6"/>
      <c r="V7" s="6"/>
      <c r="W7" s="6"/>
      <c r="X7" s="6"/>
      <c r="Y7" s="6"/>
      <c r="Z7" s="6"/>
    </row>
    <row r="8" spans="1:26" ht="15.75" customHeight="1">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75" customHeight="1">
      <c r="A9" s="552" t="s">
        <v>51</v>
      </c>
      <c r="B9" s="516"/>
      <c r="C9" s="516"/>
      <c r="D9" s="516"/>
      <c r="E9" s="516"/>
      <c r="F9" s="516"/>
      <c r="G9" s="516"/>
      <c r="H9" s="516"/>
      <c r="I9" s="516"/>
      <c r="J9" s="516"/>
      <c r="K9" s="517"/>
      <c r="L9" s="6"/>
      <c r="M9" s="6"/>
      <c r="N9" s="6"/>
      <c r="O9" s="6"/>
      <c r="P9" s="6"/>
      <c r="Q9" s="6"/>
      <c r="R9" s="6"/>
      <c r="S9" s="6"/>
      <c r="T9" s="6"/>
      <c r="U9" s="6"/>
      <c r="V9" s="6"/>
      <c r="W9" s="6"/>
      <c r="X9" s="6"/>
      <c r="Y9" s="6"/>
      <c r="Z9" s="6"/>
    </row>
    <row r="10" spans="1:26" ht="15.75" customHeight="1">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5.75" customHeight="1">
      <c r="A11" s="6"/>
      <c r="B11" s="11" t="s">
        <v>50</v>
      </c>
      <c r="C11" s="1"/>
      <c r="D11" s="1"/>
      <c r="E11" s="1"/>
      <c r="F11" s="1"/>
      <c r="G11" s="6"/>
      <c r="H11" s="6"/>
      <c r="I11" s="6"/>
      <c r="J11" s="6"/>
      <c r="K11" s="6"/>
      <c r="L11" s="6"/>
      <c r="M11" s="6"/>
      <c r="N11" s="6"/>
      <c r="O11" s="6"/>
      <c r="P11" s="6"/>
      <c r="Q11" s="6"/>
      <c r="R11" s="6"/>
      <c r="S11" s="6"/>
      <c r="T11" s="6"/>
      <c r="U11" s="6"/>
      <c r="V11" s="6"/>
      <c r="W11" s="6"/>
      <c r="X11" s="6"/>
      <c r="Y11" s="6"/>
      <c r="Z11" s="6"/>
    </row>
    <row r="12" spans="1:26" ht="15.75" customHeight="1">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5.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ht="15.75" customHeight="1">
      <c r="A14" s="553" t="s">
        <v>52</v>
      </c>
      <c r="B14" s="516"/>
      <c r="C14" s="516"/>
      <c r="D14" s="516"/>
      <c r="E14" s="516"/>
      <c r="F14" s="516"/>
      <c r="G14" s="516"/>
      <c r="H14" s="516"/>
      <c r="I14" s="516"/>
      <c r="J14" s="516"/>
      <c r="K14" s="517"/>
      <c r="L14" s="6"/>
      <c r="M14" s="6"/>
      <c r="N14" s="6"/>
      <c r="O14" s="6"/>
      <c r="P14" s="6"/>
      <c r="Q14" s="6"/>
      <c r="R14" s="6"/>
      <c r="S14" s="6"/>
      <c r="T14" s="6"/>
      <c r="U14" s="6"/>
      <c r="V14" s="6"/>
      <c r="W14" s="6"/>
      <c r="X14" s="6"/>
      <c r="Y14" s="6"/>
      <c r="Z14" s="6"/>
    </row>
    <row r="15" spans="1:26" ht="4.5" customHeight="1">
      <c r="A15" s="6"/>
      <c r="B15" s="1"/>
      <c r="C15" s="1"/>
      <c r="D15" s="1"/>
      <c r="E15" s="1"/>
      <c r="F15" s="1"/>
      <c r="G15" s="6"/>
      <c r="H15" s="6"/>
      <c r="I15" s="6"/>
      <c r="J15" s="6"/>
      <c r="K15" s="6"/>
      <c r="L15" s="6"/>
      <c r="M15" s="6"/>
      <c r="N15" s="6"/>
      <c r="O15" s="6"/>
      <c r="P15" s="6"/>
      <c r="Q15" s="6"/>
      <c r="R15" s="6"/>
      <c r="S15" s="6"/>
      <c r="T15" s="6"/>
      <c r="U15" s="6"/>
      <c r="V15" s="6"/>
      <c r="W15" s="6"/>
      <c r="X15" s="6"/>
      <c r="Y15" s="6"/>
      <c r="Z15" s="6"/>
    </row>
    <row r="16" spans="1:26" ht="15.75" customHeight="1">
      <c r="A16" s="554" t="s">
        <v>53</v>
      </c>
      <c r="B16" s="516"/>
      <c r="C16" s="516"/>
      <c r="D16" s="516"/>
      <c r="E16" s="516"/>
      <c r="F16" s="516"/>
      <c r="G16" s="516"/>
      <c r="H16" s="516"/>
      <c r="I16" s="516"/>
      <c r="J16" s="516"/>
      <c r="K16" s="517"/>
      <c r="L16" s="6"/>
      <c r="M16" s="6"/>
      <c r="N16" s="6"/>
      <c r="O16" s="6"/>
      <c r="P16" s="6"/>
      <c r="Q16" s="6"/>
      <c r="R16" s="6"/>
      <c r="S16" s="6"/>
      <c r="T16" s="6"/>
      <c r="U16" s="6"/>
      <c r="V16" s="6"/>
      <c r="W16" s="6"/>
      <c r="X16" s="6"/>
      <c r="Y16" s="6"/>
      <c r="Z16" s="6"/>
    </row>
    <row r="17" spans="1:26" ht="4.5" customHeight="1">
      <c r="A17" s="6"/>
      <c r="B17" s="1"/>
      <c r="C17" s="1"/>
      <c r="D17" s="1"/>
      <c r="E17" s="1"/>
      <c r="F17" s="1"/>
      <c r="G17" s="6"/>
      <c r="H17" s="6"/>
      <c r="I17" s="6"/>
      <c r="J17" s="6"/>
      <c r="K17" s="6"/>
      <c r="L17" s="6"/>
      <c r="M17" s="6"/>
      <c r="N17" s="6"/>
      <c r="O17" s="6"/>
      <c r="P17" s="6"/>
      <c r="Q17" s="6"/>
      <c r="R17" s="6"/>
      <c r="S17" s="6"/>
      <c r="T17" s="6"/>
      <c r="U17" s="6"/>
      <c r="V17" s="6"/>
      <c r="W17" s="6"/>
      <c r="X17" s="6"/>
      <c r="Y17" s="6"/>
      <c r="Z17" s="6"/>
    </row>
    <row r="18" spans="1:26" ht="15.75" customHeight="1">
      <c r="A18" s="554" t="s">
        <v>54</v>
      </c>
      <c r="B18" s="516"/>
      <c r="C18" s="516"/>
      <c r="D18" s="516"/>
      <c r="E18" s="517"/>
      <c r="F18" s="6"/>
      <c r="G18" s="554" t="s">
        <v>55</v>
      </c>
      <c r="H18" s="516"/>
      <c r="I18" s="516"/>
      <c r="J18" s="516"/>
      <c r="K18" s="517"/>
      <c r="L18" s="6"/>
      <c r="M18" s="6"/>
      <c r="N18" s="6"/>
      <c r="O18" s="6"/>
      <c r="P18" s="6"/>
      <c r="Q18" s="6"/>
      <c r="R18" s="6"/>
      <c r="S18" s="6"/>
      <c r="T18" s="6"/>
      <c r="U18" s="6"/>
      <c r="V18" s="6"/>
      <c r="W18" s="6"/>
      <c r="X18" s="6"/>
      <c r="Y18" s="6"/>
      <c r="Z18" s="6"/>
    </row>
    <row r="19" spans="1:26" ht="15.75" customHeight="1">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5.75" customHeight="1">
      <c r="A20" s="13"/>
      <c r="B20" s="6"/>
      <c r="C20" s="6"/>
      <c r="D20" s="6"/>
      <c r="E20" s="14"/>
      <c r="F20" s="14"/>
      <c r="G20" s="14"/>
      <c r="H20" s="6"/>
      <c r="I20" s="6"/>
      <c r="J20" s="6"/>
      <c r="K20" s="6"/>
      <c r="L20" s="6"/>
      <c r="M20" s="6"/>
      <c r="N20" s="6"/>
      <c r="O20" s="6"/>
      <c r="P20" s="6"/>
      <c r="Q20" s="6"/>
      <c r="R20" s="6"/>
      <c r="S20" s="6"/>
      <c r="T20" s="6"/>
      <c r="U20" s="6"/>
      <c r="V20" s="6"/>
      <c r="W20" s="6"/>
      <c r="X20" s="6"/>
      <c r="Y20" s="6"/>
      <c r="Z20" s="6"/>
    </row>
    <row r="21" spans="1:26" ht="15.75" customHeight="1">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5.75" customHeight="1">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5.75" customHeight="1">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5.75" customHeight="1">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5.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15"/>
      <c r="L34" s="6"/>
      <c r="M34" s="6"/>
      <c r="N34" s="6"/>
      <c r="O34" s="6"/>
      <c r="P34" s="6"/>
      <c r="Q34" s="6"/>
      <c r="R34" s="6"/>
      <c r="S34" s="6"/>
      <c r="T34" s="6"/>
      <c r="U34" s="6"/>
      <c r="V34" s="6"/>
      <c r="W34" s="6"/>
      <c r="X34" s="6"/>
      <c r="Y34" s="6"/>
      <c r="Z34" s="6"/>
    </row>
    <row r="35" spans="1:26" ht="15.75" customHeight="1">
      <c r="A35" s="6"/>
      <c r="B35" s="6"/>
      <c r="C35" s="6"/>
      <c r="D35" s="6"/>
      <c r="E35" s="15"/>
      <c r="F35" s="15"/>
      <c r="G35" s="15"/>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4.5" customHeight="1">
      <c r="A41" s="6"/>
      <c r="B41" s="1"/>
      <c r="C41" s="1"/>
      <c r="D41" s="1"/>
      <c r="E41" s="1"/>
      <c r="F41" s="1"/>
      <c r="G41" s="6"/>
      <c r="H41" s="6"/>
      <c r="I41" s="6"/>
      <c r="J41" s="6"/>
      <c r="K41" s="6"/>
      <c r="L41" s="6"/>
      <c r="M41" s="6"/>
      <c r="N41" s="6"/>
      <c r="O41" s="6"/>
      <c r="P41" s="6"/>
      <c r="Q41" s="6"/>
      <c r="R41" s="6"/>
      <c r="S41" s="6"/>
      <c r="T41" s="6"/>
      <c r="U41" s="6"/>
      <c r="V41" s="6"/>
      <c r="W41" s="6"/>
      <c r="X41" s="6"/>
      <c r="Y41" s="6"/>
      <c r="Z41" s="6"/>
    </row>
    <row r="42" spans="1:26" ht="15.75" customHeight="1">
      <c r="A42" s="554" t="s">
        <v>56</v>
      </c>
      <c r="B42" s="516"/>
      <c r="C42" s="516"/>
      <c r="D42" s="516"/>
      <c r="E42" s="516"/>
      <c r="F42" s="516"/>
      <c r="G42" s="516"/>
      <c r="H42" s="516"/>
      <c r="I42" s="516"/>
      <c r="J42" s="516"/>
      <c r="K42" s="517"/>
      <c r="L42" s="6"/>
      <c r="M42" s="6"/>
      <c r="N42" s="6"/>
      <c r="O42" s="6"/>
      <c r="P42" s="6"/>
      <c r="Q42" s="6"/>
      <c r="R42" s="6"/>
      <c r="S42" s="6"/>
      <c r="T42" s="6"/>
      <c r="U42" s="6"/>
      <c r="V42" s="6"/>
      <c r="W42" s="6"/>
      <c r="X42" s="6"/>
      <c r="Y42" s="6"/>
      <c r="Z42" s="6"/>
    </row>
    <row r="43" spans="1:26" ht="4.5" customHeight="1">
      <c r="A43" s="6"/>
      <c r="B43" s="1"/>
      <c r="C43" s="1"/>
      <c r="D43" s="1"/>
      <c r="E43" s="1"/>
      <c r="F43" s="1"/>
      <c r="G43" s="6"/>
      <c r="H43" s="6"/>
      <c r="I43" s="6"/>
      <c r="J43" s="6"/>
      <c r="K43" s="6"/>
      <c r="L43" s="6"/>
      <c r="M43" s="6"/>
      <c r="N43" s="6"/>
      <c r="O43" s="6"/>
      <c r="P43" s="6"/>
      <c r="Q43" s="6"/>
      <c r="R43" s="6"/>
      <c r="S43" s="6"/>
      <c r="T43" s="6"/>
      <c r="U43" s="6"/>
      <c r="V43" s="6"/>
      <c r="W43" s="6"/>
      <c r="X43" s="6"/>
      <c r="Y43" s="6"/>
      <c r="Z43" s="6"/>
    </row>
    <row r="44" spans="1:26" ht="15.75" customHeight="1">
      <c r="A44" s="554" t="s">
        <v>57</v>
      </c>
      <c r="B44" s="516"/>
      <c r="C44" s="517"/>
      <c r="D44" s="6"/>
      <c r="E44" s="554" t="s">
        <v>23</v>
      </c>
      <c r="F44" s="516"/>
      <c r="G44" s="517"/>
      <c r="H44" s="6"/>
      <c r="I44" s="554" t="s">
        <v>58</v>
      </c>
      <c r="J44" s="516"/>
      <c r="K44" s="517"/>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16"/>
      <c r="E49" s="16"/>
      <c r="F49" s="6"/>
      <c r="G49" s="6"/>
      <c r="H49" s="1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555" t="s">
        <v>59</v>
      </c>
      <c r="B66" s="516"/>
      <c r="C66" s="516"/>
      <c r="D66" s="516"/>
      <c r="E66" s="516"/>
      <c r="F66" s="516"/>
      <c r="G66" s="516"/>
      <c r="H66" s="516"/>
      <c r="I66" s="516"/>
      <c r="J66" s="516"/>
      <c r="K66" s="517"/>
      <c r="L66" s="6"/>
      <c r="M66" s="6"/>
      <c r="N66" s="6"/>
      <c r="O66" s="6"/>
      <c r="P66" s="6"/>
      <c r="Q66" s="6"/>
      <c r="R66" s="6"/>
      <c r="S66" s="6"/>
      <c r="T66" s="6"/>
      <c r="U66" s="6"/>
      <c r="V66" s="6"/>
      <c r="W66" s="6"/>
      <c r="X66" s="6"/>
      <c r="Y66" s="6"/>
      <c r="Z66" s="6"/>
    </row>
    <row r="67" spans="1:26" ht="4.5" customHeight="1">
      <c r="A67" s="6"/>
      <c r="B67" s="1"/>
      <c r="C67" s="1"/>
      <c r="D67" s="1"/>
      <c r="E67" s="1"/>
      <c r="F67" s="1"/>
      <c r="G67" s="6"/>
      <c r="H67" s="6"/>
      <c r="I67" s="6"/>
      <c r="J67" s="6"/>
      <c r="K67" s="6"/>
      <c r="L67" s="6"/>
      <c r="M67" s="6"/>
      <c r="N67" s="6"/>
      <c r="O67" s="6"/>
      <c r="P67" s="6"/>
      <c r="Q67" s="6"/>
      <c r="R67" s="6"/>
      <c r="S67" s="6"/>
      <c r="T67" s="6"/>
      <c r="U67" s="6"/>
      <c r="V67" s="6"/>
      <c r="W67" s="6"/>
      <c r="X67" s="6"/>
      <c r="Y67" s="6"/>
      <c r="Z67" s="6"/>
    </row>
    <row r="68" spans="1:26" ht="15.75" customHeight="1">
      <c r="A68" s="556" t="s">
        <v>60</v>
      </c>
      <c r="B68" s="516"/>
      <c r="C68" s="517"/>
      <c r="D68" s="6"/>
      <c r="E68" s="556" t="s">
        <v>23</v>
      </c>
      <c r="F68" s="516"/>
      <c r="G68" s="517"/>
      <c r="H68" s="6"/>
      <c r="I68" s="556" t="s">
        <v>58</v>
      </c>
      <c r="J68" s="516"/>
      <c r="K68" s="517"/>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557" t="s">
        <v>61</v>
      </c>
      <c r="B93" s="516"/>
      <c r="C93" s="516"/>
      <c r="D93" s="516"/>
      <c r="E93" s="516"/>
      <c r="F93" s="516"/>
      <c r="G93" s="516"/>
      <c r="H93" s="516"/>
      <c r="I93" s="516"/>
      <c r="J93" s="516"/>
      <c r="K93" s="517"/>
      <c r="L93" s="6"/>
      <c r="M93" s="6"/>
      <c r="N93" s="6"/>
      <c r="O93" s="6"/>
      <c r="P93" s="6"/>
      <c r="Q93" s="6"/>
      <c r="R93" s="6"/>
      <c r="S93" s="6"/>
      <c r="T93" s="6"/>
      <c r="U93" s="6"/>
      <c r="V93" s="6"/>
      <c r="W93" s="6"/>
      <c r="X93" s="6"/>
      <c r="Y93" s="6"/>
      <c r="Z93" s="6"/>
    </row>
    <row r="94" spans="1:26" ht="4.5" customHeight="1">
      <c r="A94" s="6"/>
      <c r="B94" s="1"/>
      <c r="C94" s="1"/>
      <c r="D94" s="1"/>
      <c r="E94" s="1"/>
      <c r="F94" s="1"/>
      <c r="G94" s="6"/>
      <c r="H94" s="6"/>
      <c r="I94" s="6"/>
      <c r="J94" s="6"/>
      <c r="K94" s="6"/>
      <c r="L94" s="6"/>
      <c r="M94" s="6"/>
      <c r="N94" s="6"/>
      <c r="O94" s="6"/>
      <c r="P94" s="6"/>
      <c r="Q94" s="6"/>
      <c r="R94" s="6"/>
      <c r="S94" s="6"/>
      <c r="T94" s="6"/>
      <c r="U94" s="6"/>
      <c r="V94" s="6"/>
      <c r="W94" s="6"/>
      <c r="X94" s="6"/>
      <c r="Y94" s="6"/>
      <c r="Z94" s="6"/>
    </row>
    <row r="95" spans="1:26" ht="15.75" customHeight="1">
      <c r="A95" s="556" t="s">
        <v>62</v>
      </c>
      <c r="B95" s="516"/>
      <c r="C95" s="516"/>
      <c r="D95" s="516"/>
      <c r="E95" s="516"/>
      <c r="F95" s="516"/>
      <c r="G95" s="516"/>
      <c r="H95" s="516"/>
      <c r="I95" s="516"/>
      <c r="J95" s="516"/>
      <c r="K95" s="517"/>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558" t="s">
        <v>63</v>
      </c>
      <c r="B127" s="516"/>
      <c r="C127" s="516"/>
      <c r="D127" s="516"/>
      <c r="E127" s="516"/>
      <c r="F127" s="516"/>
      <c r="G127" s="516"/>
      <c r="H127" s="516"/>
      <c r="I127" s="516"/>
      <c r="J127" s="516"/>
      <c r="K127" s="517"/>
      <c r="L127" s="6"/>
      <c r="M127" s="6"/>
      <c r="N127" s="6"/>
      <c r="O127" s="6"/>
      <c r="P127" s="6"/>
      <c r="Q127" s="6"/>
      <c r="R127" s="6"/>
      <c r="S127" s="6"/>
      <c r="T127" s="6"/>
      <c r="U127" s="6"/>
      <c r="V127" s="6"/>
      <c r="W127" s="6"/>
      <c r="X127" s="6"/>
      <c r="Y127" s="6"/>
      <c r="Z127" s="6"/>
    </row>
    <row r="128" spans="1:26" ht="4.5" customHeight="1">
      <c r="A128" s="6"/>
      <c r="B128" s="1"/>
      <c r="C128" s="1"/>
      <c r="D128" s="1"/>
      <c r="E128" s="1"/>
      <c r="F128" s="1"/>
      <c r="G128" s="6"/>
      <c r="H128" s="6"/>
      <c r="I128" s="6"/>
      <c r="J128" s="6"/>
      <c r="K128" s="6"/>
      <c r="L128" s="6"/>
      <c r="M128" s="6"/>
      <c r="N128" s="6"/>
      <c r="O128" s="6"/>
      <c r="P128" s="6"/>
      <c r="Q128" s="6"/>
      <c r="R128" s="6"/>
      <c r="S128" s="6"/>
      <c r="T128" s="6"/>
      <c r="U128" s="6"/>
      <c r="V128" s="6"/>
      <c r="W128" s="6"/>
      <c r="X128" s="6"/>
      <c r="Y128" s="6"/>
      <c r="Z128" s="6"/>
    </row>
    <row r="129" spans="1:26" ht="15.75" customHeight="1">
      <c r="A129" s="559" t="s">
        <v>64</v>
      </c>
      <c r="B129" s="516"/>
      <c r="C129" s="517"/>
      <c r="D129" s="6"/>
      <c r="E129" s="559" t="s">
        <v>23</v>
      </c>
      <c r="F129" s="516"/>
      <c r="G129" s="517"/>
      <c r="H129" s="6"/>
      <c r="I129" s="559" t="s">
        <v>58</v>
      </c>
      <c r="J129" s="516"/>
      <c r="K129" s="517"/>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560" t="s">
        <v>65</v>
      </c>
      <c r="B153" s="516"/>
      <c r="C153" s="516"/>
      <c r="D153" s="516"/>
      <c r="E153" s="516"/>
      <c r="F153" s="516"/>
      <c r="G153" s="516"/>
      <c r="H153" s="516"/>
      <c r="I153" s="516"/>
      <c r="J153" s="516"/>
      <c r="K153" s="517"/>
      <c r="L153" s="6"/>
      <c r="M153" s="6"/>
      <c r="N153" s="6"/>
      <c r="O153" s="6"/>
      <c r="P153" s="6"/>
      <c r="Q153" s="6"/>
      <c r="R153" s="6"/>
      <c r="S153" s="6"/>
      <c r="T153" s="6"/>
      <c r="U153" s="6"/>
      <c r="V153" s="6"/>
      <c r="W153" s="6"/>
      <c r="X153" s="6"/>
      <c r="Y153" s="6"/>
      <c r="Z153" s="6"/>
    </row>
    <row r="154" spans="1:26" ht="4.5" customHeight="1">
      <c r="A154" s="6"/>
      <c r="B154" s="1"/>
      <c r="C154" s="1"/>
      <c r="D154" s="1"/>
      <c r="E154" s="1"/>
      <c r="F154" s="1"/>
      <c r="G154" s="6"/>
      <c r="H154" s="6"/>
      <c r="I154" s="6"/>
      <c r="J154" s="6"/>
      <c r="K154" s="6"/>
      <c r="L154" s="6"/>
      <c r="M154" s="6"/>
      <c r="N154" s="6"/>
      <c r="O154" s="6"/>
      <c r="P154" s="6"/>
      <c r="Q154" s="6"/>
      <c r="R154" s="6"/>
      <c r="S154" s="6"/>
      <c r="T154" s="6"/>
      <c r="U154" s="6"/>
      <c r="V154" s="6"/>
      <c r="W154" s="6"/>
      <c r="X154" s="6"/>
      <c r="Y154" s="6"/>
      <c r="Z154" s="6"/>
    </row>
    <row r="155" spans="1:26" ht="15.75" customHeight="1">
      <c r="A155" s="561" t="s">
        <v>66</v>
      </c>
      <c r="B155" s="516"/>
      <c r="C155" s="517"/>
      <c r="D155" s="6"/>
      <c r="E155" s="561" t="s">
        <v>23</v>
      </c>
      <c r="F155" s="516"/>
      <c r="G155" s="517"/>
      <c r="H155" s="6"/>
      <c r="I155" s="561" t="s">
        <v>58</v>
      </c>
      <c r="J155" s="516"/>
      <c r="K155" s="517"/>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4.5" customHeight="1">
      <c r="A177" s="6"/>
      <c r="B177" s="1"/>
      <c r="C177" s="1"/>
      <c r="D177" s="1"/>
      <c r="E177" s="1"/>
      <c r="F177" s="1"/>
      <c r="G177" s="6"/>
      <c r="H177" s="6"/>
      <c r="I177" s="6"/>
      <c r="J177" s="6"/>
      <c r="K177" s="6"/>
      <c r="L177" s="6"/>
      <c r="M177" s="6"/>
      <c r="N177" s="6"/>
      <c r="O177" s="6"/>
      <c r="P177" s="6"/>
      <c r="Q177" s="6"/>
      <c r="R177" s="6"/>
      <c r="S177" s="6"/>
      <c r="T177" s="6"/>
      <c r="U177" s="6"/>
      <c r="V177" s="6"/>
      <c r="W177" s="6"/>
      <c r="X177" s="6"/>
      <c r="Y177" s="6"/>
      <c r="Z177" s="6"/>
    </row>
    <row r="178" spans="1:26" ht="15.75" customHeight="1">
      <c r="A178" s="561" t="s">
        <v>67</v>
      </c>
      <c r="B178" s="516"/>
      <c r="C178" s="516"/>
      <c r="D178" s="516"/>
      <c r="E178" s="517"/>
      <c r="F178" s="6"/>
      <c r="G178" s="561" t="s">
        <v>68</v>
      </c>
      <c r="H178" s="516"/>
      <c r="I178" s="516"/>
      <c r="J178" s="516"/>
      <c r="K178" s="517"/>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562" t="s">
        <v>69</v>
      </c>
      <c r="B207" s="516"/>
      <c r="C207" s="516"/>
      <c r="D207" s="516"/>
      <c r="E207" s="516"/>
      <c r="F207" s="516"/>
      <c r="G207" s="516"/>
      <c r="H207" s="516"/>
      <c r="I207" s="516"/>
      <c r="J207" s="516"/>
      <c r="K207" s="517"/>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568" t="s">
        <v>70</v>
      </c>
      <c r="B242" s="516"/>
      <c r="C242" s="516"/>
      <c r="D242" s="516"/>
      <c r="E242" s="516"/>
      <c r="F242" s="516"/>
      <c r="G242" s="516"/>
      <c r="H242" s="516"/>
      <c r="I242" s="516"/>
      <c r="J242" s="516"/>
      <c r="K242" s="517"/>
      <c r="L242" s="6"/>
      <c r="M242" s="6"/>
      <c r="N242" s="6"/>
      <c r="O242" s="6"/>
      <c r="P242" s="6"/>
      <c r="Q242" s="6"/>
      <c r="R242" s="6"/>
      <c r="S242" s="6"/>
      <c r="T242" s="6"/>
      <c r="U242" s="6"/>
      <c r="V242" s="6"/>
      <c r="W242" s="6"/>
      <c r="X242" s="6"/>
      <c r="Y242" s="6"/>
      <c r="Z242" s="6"/>
    </row>
    <row r="243" spans="1:26" ht="4.5" customHeight="1">
      <c r="A243" s="6"/>
      <c r="B243" s="1"/>
      <c r="C243" s="1"/>
      <c r="D243" s="1"/>
      <c r="E243" s="1"/>
      <c r="F243" s="1"/>
      <c r="G243" s="6"/>
      <c r="H243" s="6"/>
      <c r="I243" s="6"/>
      <c r="J243" s="6"/>
      <c r="K243" s="6"/>
      <c r="L243" s="6"/>
      <c r="M243" s="6"/>
      <c r="N243" s="6"/>
      <c r="O243" s="6"/>
      <c r="P243" s="6"/>
      <c r="Q243" s="6"/>
      <c r="R243" s="6"/>
      <c r="S243" s="6"/>
      <c r="T243" s="6"/>
      <c r="U243" s="6"/>
      <c r="V243" s="6"/>
      <c r="W243" s="6"/>
      <c r="X243" s="6"/>
      <c r="Y243" s="6"/>
      <c r="Z243" s="6"/>
    </row>
    <row r="244" spans="1:26" ht="15.75" customHeight="1">
      <c r="A244" s="569" t="s">
        <v>71</v>
      </c>
      <c r="B244" s="516"/>
      <c r="C244" s="517"/>
      <c r="D244" s="6"/>
      <c r="E244" s="569" t="s">
        <v>23</v>
      </c>
      <c r="F244" s="516"/>
      <c r="G244" s="517"/>
      <c r="H244" s="6"/>
      <c r="I244" s="569" t="s">
        <v>58</v>
      </c>
      <c r="J244" s="516"/>
      <c r="K244" s="517"/>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4.5" customHeight="1">
      <c r="A264" s="6"/>
      <c r="B264" s="1"/>
      <c r="C264" s="1"/>
      <c r="D264" s="1"/>
      <c r="E264" s="1"/>
      <c r="F264" s="1"/>
      <c r="G264" s="6"/>
      <c r="H264" s="6"/>
      <c r="I264" s="6"/>
      <c r="J264" s="6"/>
      <c r="K264" s="6"/>
      <c r="L264" s="6"/>
      <c r="M264" s="6"/>
      <c r="N264" s="6"/>
      <c r="O264" s="6"/>
      <c r="P264" s="6"/>
      <c r="Q264" s="6"/>
      <c r="R264" s="6"/>
      <c r="S264" s="6"/>
      <c r="T264" s="6"/>
      <c r="U264" s="6"/>
      <c r="V264" s="6"/>
      <c r="W264" s="6"/>
      <c r="X264" s="6"/>
      <c r="Y264" s="6"/>
      <c r="Z264" s="6"/>
    </row>
    <row r="265" spans="1:26" ht="15.75" customHeight="1">
      <c r="A265" s="569" t="s">
        <v>72</v>
      </c>
      <c r="B265" s="516"/>
      <c r="C265" s="516"/>
      <c r="D265" s="516"/>
      <c r="E265" s="516"/>
      <c r="F265" s="516"/>
      <c r="G265" s="516"/>
      <c r="H265" s="516"/>
      <c r="I265" s="516"/>
      <c r="J265" s="516"/>
      <c r="K265" s="517"/>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570" t="s">
        <v>73</v>
      </c>
      <c r="B296" s="516"/>
      <c r="C296" s="516"/>
      <c r="D296" s="516"/>
      <c r="E296" s="516"/>
      <c r="F296" s="516"/>
      <c r="G296" s="516"/>
      <c r="H296" s="516"/>
      <c r="I296" s="516"/>
      <c r="J296" s="516"/>
      <c r="K296" s="517"/>
      <c r="L296" s="6"/>
      <c r="M296" s="6"/>
      <c r="N296" s="6"/>
      <c r="O296" s="6"/>
      <c r="P296" s="6"/>
      <c r="Q296" s="6"/>
      <c r="R296" s="6"/>
      <c r="S296" s="6"/>
      <c r="T296" s="6"/>
      <c r="U296" s="6"/>
      <c r="V296" s="6"/>
      <c r="W296" s="6"/>
      <c r="X296" s="6"/>
      <c r="Y296" s="6"/>
      <c r="Z296" s="6"/>
    </row>
    <row r="297" spans="1:26" ht="15.75" customHeight="1">
      <c r="A297" s="6"/>
      <c r="B297" s="1"/>
      <c r="C297" s="1"/>
      <c r="D297" s="1"/>
      <c r="E297" s="1"/>
      <c r="F297" s="1"/>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11"/>
      <c r="C298" s="1"/>
      <c r="D298" s="1"/>
      <c r="E298" s="1"/>
      <c r="F298" s="1"/>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571" t="s">
        <v>74</v>
      </c>
      <c r="B317" s="516"/>
      <c r="C317" s="516"/>
      <c r="D317" s="516"/>
      <c r="E317" s="516"/>
      <c r="F317" s="516"/>
      <c r="G317" s="516"/>
      <c r="H317" s="516"/>
      <c r="I317" s="516"/>
      <c r="J317" s="516"/>
      <c r="K317" s="517"/>
      <c r="L317" s="6"/>
      <c r="M317" s="6"/>
      <c r="N317" s="6"/>
      <c r="O317" s="6"/>
      <c r="P317" s="6"/>
      <c r="Q317" s="6"/>
      <c r="R317" s="6"/>
      <c r="S317" s="6"/>
      <c r="T317" s="6"/>
      <c r="U317" s="6"/>
      <c r="V317" s="6"/>
      <c r="W317" s="6"/>
      <c r="X317" s="6"/>
      <c r="Y317" s="6"/>
      <c r="Z317" s="6"/>
    </row>
    <row r="318" spans="1:26" ht="15.75" customHeight="1">
      <c r="A318" s="6"/>
      <c r="B318" s="1"/>
      <c r="C318" s="1"/>
      <c r="D318" s="1"/>
      <c r="E318" s="1"/>
      <c r="F318" s="1"/>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11" t="s">
        <v>50</v>
      </c>
      <c r="C319" s="1"/>
      <c r="D319" s="1"/>
      <c r="E319" s="1"/>
      <c r="F319" s="1"/>
      <c r="G319" s="6"/>
      <c r="H319" s="6"/>
      <c r="I319" s="6"/>
      <c r="J319" s="6"/>
      <c r="K319" s="6"/>
      <c r="L319" s="6"/>
      <c r="M319" s="6"/>
      <c r="N319" s="6"/>
      <c r="O319" s="6"/>
      <c r="P319" s="6"/>
      <c r="Q319" s="6"/>
      <c r="R319" s="6"/>
      <c r="S319" s="6"/>
      <c r="T319" s="6"/>
      <c r="U319" s="6"/>
      <c r="V319" s="6"/>
      <c r="W319" s="6"/>
      <c r="X319" s="6"/>
      <c r="Y319" s="6"/>
      <c r="Z319" s="6"/>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563" t="s">
        <v>75</v>
      </c>
      <c r="B322" s="516"/>
      <c r="C322" s="516"/>
      <c r="D322" s="516"/>
      <c r="E322" s="516"/>
      <c r="F322" s="516"/>
      <c r="G322" s="516"/>
      <c r="H322" s="516"/>
      <c r="I322" s="516"/>
      <c r="J322" s="516"/>
      <c r="K322" s="517"/>
      <c r="L322" s="6"/>
      <c r="M322" s="6"/>
      <c r="N322" s="6"/>
      <c r="O322" s="6"/>
      <c r="P322" s="6"/>
      <c r="Q322" s="6"/>
      <c r="R322" s="6"/>
      <c r="S322" s="6"/>
      <c r="T322" s="6"/>
      <c r="U322" s="6"/>
      <c r="V322" s="6"/>
      <c r="W322" s="6"/>
      <c r="X322" s="6"/>
      <c r="Y322" s="6"/>
      <c r="Z322" s="6"/>
    </row>
    <row r="323" spans="1:26" ht="15.75" customHeight="1">
      <c r="A323" s="6"/>
      <c r="B323" s="1"/>
      <c r="C323" s="1"/>
      <c r="D323" s="1"/>
      <c r="E323" s="1"/>
      <c r="F323" s="1"/>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11"/>
      <c r="C324" s="1"/>
      <c r="D324" s="1"/>
      <c r="E324" s="1"/>
      <c r="F324" s="1"/>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564" t="s">
        <v>76</v>
      </c>
      <c r="B343" s="516"/>
      <c r="C343" s="516"/>
      <c r="D343" s="516"/>
      <c r="E343" s="516"/>
      <c r="F343" s="516"/>
      <c r="G343" s="516"/>
      <c r="H343" s="516"/>
      <c r="I343" s="516"/>
      <c r="J343" s="516"/>
      <c r="K343" s="517"/>
      <c r="L343" s="6"/>
      <c r="M343" s="6"/>
      <c r="N343" s="6"/>
      <c r="O343" s="6"/>
      <c r="P343" s="6"/>
      <c r="Q343" s="6"/>
      <c r="R343" s="6"/>
      <c r="S343" s="6"/>
      <c r="T343" s="6"/>
      <c r="U343" s="6"/>
      <c r="V343" s="6"/>
      <c r="W343" s="6"/>
      <c r="X343" s="6"/>
      <c r="Y343" s="6"/>
      <c r="Z343" s="6"/>
    </row>
    <row r="344" spans="1:26" ht="15.75" customHeight="1">
      <c r="A344" s="6"/>
      <c r="B344" s="1"/>
      <c r="C344" s="1"/>
      <c r="D344" s="1"/>
      <c r="E344" s="1"/>
      <c r="F344" s="1"/>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11" t="s">
        <v>50</v>
      </c>
      <c r="C345" s="1"/>
      <c r="D345" s="1"/>
      <c r="E345" s="1"/>
      <c r="F345" s="1"/>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565" t="s">
        <v>77</v>
      </c>
      <c r="B348" s="516"/>
      <c r="C348" s="516"/>
      <c r="D348" s="516"/>
      <c r="E348" s="516"/>
      <c r="F348" s="516"/>
      <c r="G348" s="516"/>
      <c r="H348" s="516"/>
      <c r="I348" s="516"/>
      <c r="J348" s="516"/>
      <c r="K348" s="517"/>
      <c r="L348" s="6"/>
      <c r="M348" s="6"/>
      <c r="N348" s="6"/>
      <c r="O348" s="6"/>
      <c r="P348" s="6"/>
      <c r="Q348" s="6"/>
      <c r="R348" s="6"/>
      <c r="S348" s="6"/>
      <c r="T348" s="6"/>
      <c r="U348" s="6"/>
      <c r="V348" s="6"/>
      <c r="W348" s="6"/>
      <c r="X348" s="6"/>
      <c r="Y348" s="6"/>
      <c r="Z348" s="6"/>
    </row>
    <row r="349" spans="1:26" ht="15.75" customHeight="1">
      <c r="A349" s="6"/>
      <c r="B349" s="1"/>
      <c r="C349" s="1"/>
      <c r="D349" s="1"/>
      <c r="E349" s="1"/>
      <c r="F349" s="1"/>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11"/>
      <c r="C350" s="1"/>
      <c r="D350" s="1"/>
      <c r="E350" s="1"/>
      <c r="F350" s="1"/>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566" t="s">
        <v>78</v>
      </c>
      <c r="B369" s="516"/>
      <c r="C369" s="516"/>
      <c r="D369" s="516"/>
      <c r="E369" s="516"/>
      <c r="F369" s="516"/>
      <c r="G369" s="516"/>
      <c r="H369" s="516"/>
      <c r="I369" s="516"/>
      <c r="J369" s="516"/>
      <c r="K369" s="517"/>
      <c r="L369" s="6"/>
      <c r="M369" s="6"/>
      <c r="N369" s="6"/>
      <c r="O369" s="6"/>
      <c r="P369" s="6"/>
      <c r="Q369" s="6"/>
      <c r="R369" s="6"/>
      <c r="S369" s="6"/>
      <c r="T369" s="6"/>
      <c r="U369" s="6"/>
      <c r="V369" s="6"/>
      <c r="W369" s="6"/>
      <c r="X369" s="6"/>
      <c r="Y369" s="6"/>
      <c r="Z369" s="6"/>
    </row>
    <row r="370" spans="1:26" ht="4.5" customHeight="1">
      <c r="A370" s="6"/>
      <c r="B370" s="1"/>
      <c r="C370" s="1"/>
      <c r="D370" s="1"/>
      <c r="E370" s="1"/>
      <c r="F370" s="1"/>
      <c r="G370" s="6"/>
      <c r="H370" s="6"/>
      <c r="I370" s="6"/>
      <c r="J370" s="6"/>
      <c r="K370" s="6"/>
      <c r="L370" s="6"/>
      <c r="M370" s="6"/>
      <c r="N370" s="6"/>
      <c r="O370" s="6"/>
      <c r="P370" s="6"/>
      <c r="Q370" s="6"/>
      <c r="R370" s="6"/>
      <c r="S370" s="6"/>
      <c r="T370" s="6"/>
      <c r="U370" s="6"/>
      <c r="V370" s="6"/>
      <c r="W370" s="6"/>
      <c r="X370" s="6"/>
      <c r="Y370" s="6"/>
      <c r="Z370" s="6"/>
    </row>
    <row r="371" spans="1:26" ht="15.75" customHeight="1">
      <c r="A371" s="567" t="s">
        <v>79</v>
      </c>
      <c r="B371" s="516"/>
      <c r="C371" s="516"/>
      <c r="D371" s="516"/>
      <c r="E371" s="517"/>
      <c r="F371" s="6"/>
      <c r="G371" s="567" t="s">
        <v>47</v>
      </c>
      <c r="H371" s="516"/>
      <c r="I371" s="516"/>
      <c r="J371" s="516"/>
      <c r="K371" s="517"/>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41">
    <mergeCell ref="A371:E371"/>
    <mergeCell ref="G371:K371"/>
    <mergeCell ref="A242:K242"/>
    <mergeCell ref="A244:C244"/>
    <mergeCell ref="E244:G244"/>
    <mergeCell ref="I244:K244"/>
    <mergeCell ref="A265:K265"/>
    <mergeCell ref="A296:K296"/>
    <mergeCell ref="A317:K317"/>
    <mergeCell ref="A207:K207"/>
    <mergeCell ref="A322:K322"/>
    <mergeCell ref="A343:K343"/>
    <mergeCell ref="A348:K348"/>
    <mergeCell ref="A369:K369"/>
    <mergeCell ref="A153:K153"/>
    <mergeCell ref="A155:C155"/>
    <mergeCell ref="E155:G155"/>
    <mergeCell ref="I155:K155"/>
    <mergeCell ref="A178:E178"/>
    <mergeCell ref="G178:K178"/>
    <mergeCell ref="A95:K95"/>
    <mergeCell ref="A127:K127"/>
    <mergeCell ref="A129:C129"/>
    <mergeCell ref="E129:G129"/>
    <mergeCell ref="I129:K129"/>
    <mergeCell ref="A66:K66"/>
    <mergeCell ref="A68:C68"/>
    <mergeCell ref="E68:G68"/>
    <mergeCell ref="I68:K68"/>
    <mergeCell ref="A93:K93"/>
    <mergeCell ref="A18:E18"/>
    <mergeCell ref="G18:K18"/>
    <mergeCell ref="A42:K42"/>
    <mergeCell ref="A44:C44"/>
    <mergeCell ref="E44:G44"/>
    <mergeCell ref="I44:K44"/>
    <mergeCell ref="A2:K2"/>
    <mergeCell ref="A5:K5"/>
    <mergeCell ref="A9:K9"/>
    <mergeCell ref="A14:K14"/>
    <mergeCell ref="A16:K16"/>
  </mergeCells>
  <pageMargins left="0.75" right="0.75" top="1" bottom="1"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9EDFF"/>
  </sheetPr>
  <dimension ref="A1:F1000"/>
  <sheetViews>
    <sheetView topLeftCell="A13" workbookViewId="0">
      <selection activeCell="C14" sqref="C14"/>
    </sheetView>
  </sheetViews>
  <sheetFormatPr baseColWidth="10" defaultColWidth="11.125" defaultRowHeight="15" customHeight="1"/>
  <cols>
    <col min="1" max="1" width="8.5" customWidth="1"/>
    <col min="2" max="2" width="34.5" customWidth="1"/>
    <col min="3" max="3" width="13" customWidth="1"/>
    <col min="4" max="4" width="5.5" customWidth="1"/>
    <col min="5" max="5" width="34.5" customWidth="1"/>
    <col min="6" max="6" width="13" customWidth="1"/>
    <col min="7" max="26" width="11" customWidth="1"/>
  </cols>
  <sheetData>
    <row r="1" spans="1:6" ht="15.75" customHeight="1"/>
    <row r="2" spans="1:6" ht="15.75" customHeight="1">
      <c r="A2" s="551" t="s">
        <v>80</v>
      </c>
      <c r="B2" s="516"/>
      <c r="C2" s="516"/>
      <c r="D2" s="516"/>
      <c r="E2" s="516"/>
      <c r="F2" s="517"/>
    </row>
    <row r="3" spans="1:6" ht="15.75" customHeight="1">
      <c r="B3" s="1"/>
      <c r="C3" s="1"/>
      <c r="D3" s="1"/>
      <c r="E3" s="1"/>
      <c r="F3" s="1"/>
    </row>
    <row r="4" spans="1:6" ht="15.75" customHeight="1">
      <c r="B4" s="3" t="s">
        <v>81</v>
      </c>
      <c r="C4" s="1"/>
      <c r="D4" s="1"/>
      <c r="E4" s="1"/>
      <c r="F4" s="1"/>
    </row>
    <row r="5" spans="1:6" ht="15.75" customHeight="1">
      <c r="B5" s="3" t="s">
        <v>82</v>
      </c>
      <c r="C5" s="1"/>
      <c r="D5" s="1"/>
      <c r="E5" s="1"/>
      <c r="F5" s="1"/>
    </row>
    <row r="6" spans="1:6" ht="15.75" customHeight="1">
      <c r="B6" s="1"/>
      <c r="C6" s="1"/>
      <c r="D6" s="1"/>
      <c r="E6" s="1"/>
      <c r="F6" s="1"/>
    </row>
    <row r="7" spans="1:6" ht="15.75" customHeight="1">
      <c r="A7" s="573" t="s">
        <v>7</v>
      </c>
      <c r="B7" s="516"/>
      <c r="C7" s="516"/>
      <c r="D7" s="516"/>
      <c r="E7" s="516"/>
      <c r="F7" s="517"/>
    </row>
    <row r="8" spans="1:6" ht="15.75" customHeight="1">
      <c r="B8" s="1"/>
      <c r="C8" s="1"/>
      <c r="D8" s="1"/>
      <c r="E8" s="1"/>
      <c r="F8" s="1"/>
    </row>
    <row r="9" spans="1:6" ht="15.75" customHeight="1">
      <c r="B9" s="574" t="s">
        <v>83</v>
      </c>
      <c r="C9" s="517"/>
      <c r="D9" s="1"/>
      <c r="E9" s="574" t="s">
        <v>84</v>
      </c>
      <c r="F9" s="517"/>
    </row>
    <row r="10" spans="1:6" ht="15.75" customHeight="1">
      <c r="B10" s="17" t="s">
        <v>85</v>
      </c>
      <c r="C10" s="18" t="s">
        <v>86</v>
      </c>
      <c r="D10" s="19"/>
      <c r="E10" s="17" t="s">
        <v>85</v>
      </c>
      <c r="F10" s="18" t="s">
        <v>86</v>
      </c>
    </row>
    <row r="11" spans="1:6" ht="15.75" customHeight="1">
      <c r="B11" s="20" t="s">
        <v>87</v>
      </c>
      <c r="C11" s="21">
        <v>0</v>
      </c>
      <c r="D11" s="1"/>
      <c r="E11" s="20" t="s">
        <v>87</v>
      </c>
      <c r="F11" s="21">
        <v>0</v>
      </c>
    </row>
    <row r="12" spans="1:6" ht="15.75" customHeight="1">
      <c r="B12" s="22" t="s">
        <v>88</v>
      </c>
      <c r="C12" s="23">
        <v>0</v>
      </c>
      <c r="D12" s="1"/>
      <c r="E12" s="22" t="s">
        <v>88</v>
      </c>
      <c r="F12" s="23">
        <v>0</v>
      </c>
    </row>
    <row r="13" spans="1:6" ht="15.75" customHeight="1">
      <c r="B13" s="22" t="s">
        <v>89</v>
      </c>
      <c r="C13" s="23">
        <v>0</v>
      </c>
      <c r="D13" s="1"/>
      <c r="E13" s="22" t="s">
        <v>89</v>
      </c>
      <c r="F13" s="23">
        <v>0</v>
      </c>
    </row>
    <row r="14" spans="1:6" ht="15.75" customHeight="1">
      <c r="B14" s="22" t="s">
        <v>90</v>
      </c>
      <c r="C14" s="23">
        <v>0</v>
      </c>
      <c r="D14" s="1"/>
      <c r="E14" s="22" t="s">
        <v>90</v>
      </c>
      <c r="F14" s="23">
        <v>0</v>
      </c>
    </row>
    <row r="15" spans="1:6" ht="15.75" customHeight="1">
      <c r="B15" s="22" t="s">
        <v>91</v>
      </c>
      <c r="C15" s="23">
        <v>0</v>
      </c>
      <c r="D15" s="1"/>
      <c r="E15" s="22" t="s">
        <v>91</v>
      </c>
      <c r="F15" s="23">
        <v>0</v>
      </c>
    </row>
    <row r="16" spans="1:6" ht="15.75" customHeight="1">
      <c r="B16" s="22" t="s">
        <v>92</v>
      </c>
      <c r="C16" s="23">
        <v>0</v>
      </c>
      <c r="D16" s="1"/>
      <c r="E16" s="22" t="s">
        <v>92</v>
      </c>
      <c r="F16" s="23">
        <v>0</v>
      </c>
    </row>
    <row r="17" spans="1:6" ht="15.75" customHeight="1">
      <c r="B17" s="24" t="s">
        <v>93</v>
      </c>
      <c r="C17" s="25">
        <v>0</v>
      </c>
      <c r="D17" s="1"/>
      <c r="E17" s="24" t="s">
        <v>93</v>
      </c>
      <c r="F17" s="25">
        <v>0</v>
      </c>
    </row>
    <row r="18" spans="1:6" ht="15.75" customHeight="1">
      <c r="B18" s="1"/>
      <c r="C18" s="1"/>
      <c r="D18" s="1"/>
      <c r="E18" s="1"/>
      <c r="F18" s="1"/>
    </row>
    <row r="19" spans="1:6" ht="15.75" customHeight="1">
      <c r="B19" s="26" t="s">
        <v>94</v>
      </c>
      <c r="C19" s="27">
        <v>0</v>
      </c>
      <c r="D19" s="1"/>
      <c r="E19" s="1"/>
      <c r="F19" s="1"/>
    </row>
    <row r="20" spans="1:6" ht="15.75" customHeight="1">
      <c r="B20" s="28" t="s">
        <v>95</v>
      </c>
      <c r="C20" s="29">
        <v>0</v>
      </c>
      <c r="D20" s="1"/>
      <c r="E20" s="1"/>
      <c r="F20" s="1"/>
    </row>
    <row r="21" spans="1:6" ht="15.75" customHeight="1">
      <c r="B21" s="1"/>
      <c r="C21" s="1"/>
      <c r="D21" s="1"/>
      <c r="E21" s="1"/>
      <c r="F21" s="1"/>
    </row>
    <row r="22" spans="1:6" ht="34.5" customHeight="1">
      <c r="A22" s="572" t="s">
        <v>96</v>
      </c>
      <c r="B22" s="516"/>
      <c r="C22" s="516"/>
      <c r="D22" s="516"/>
      <c r="E22" s="516"/>
      <c r="F22" s="517"/>
    </row>
    <row r="23" spans="1:6" ht="15.75" customHeight="1">
      <c r="B23" s="1"/>
      <c r="C23" s="1"/>
      <c r="D23" s="1"/>
      <c r="E23" s="1"/>
      <c r="F23" s="1"/>
    </row>
    <row r="24" spans="1:6" ht="48" customHeight="1">
      <c r="B24" s="30" t="s">
        <v>97</v>
      </c>
      <c r="C24" s="31">
        <v>0</v>
      </c>
      <c r="D24" s="1"/>
      <c r="E24" s="30" t="s">
        <v>98</v>
      </c>
      <c r="F24" s="31">
        <v>0</v>
      </c>
    </row>
    <row r="25" spans="1:6" ht="15.75" customHeight="1">
      <c r="B25" s="1"/>
      <c r="C25" s="1"/>
      <c r="D25" s="1"/>
      <c r="E25" s="1"/>
      <c r="F25" s="1"/>
    </row>
    <row r="26" spans="1:6" ht="48" customHeight="1">
      <c r="B26" s="32" t="s">
        <v>99</v>
      </c>
      <c r="C26" s="31">
        <v>0</v>
      </c>
      <c r="D26" s="1"/>
      <c r="E26" s="30" t="s">
        <v>100</v>
      </c>
      <c r="F26" s="31">
        <v>0</v>
      </c>
    </row>
    <row r="27" spans="1:6" ht="15.75" customHeight="1">
      <c r="B27" s="1"/>
      <c r="C27" s="1"/>
      <c r="D27" s="1"/>
      <c r="E27" s="1"/>
      <c r="F27" s="1"/>
    </row>
    <row r="28" spans="1:6" ht="48" customHeight="1">
      <c r="B28" s="30" t="s">
        <v>101</v>
      </c>
      <c r="C28" s="31">
        <v>0</v>
      </c>
      <c r="D28" s="1"/>
      <c r="E28" s="1"/>
      <c r="F28" s="1"/>
    </row>
    <row r="29" spans="1:6" ht="15.75" customHeight="1">
      <c r="B29" s="1"/>
      <c r="C29" s="1"/>
      <c r="D29" s="1"/>
      <c r="E29" s="1"/>
      <c r="F29" s="1"/>
    </row>
    <row r="30" spans="1:6" ht="34.5" customHeight="1">
      <c r="A30" s="572" t="s">
        <v>102</v>
      </c>
      <c r="B30" s="516"/>
      <c r="C30" s="516"/>
      <c r="D30" s="516"/>
      <c r="E30" s="516"/>
      <c r="F30" s="517"/>
    </row>
    <row r="31" spans="1:6" ht="15.75" customHeight="1">
      <c r="B31" s="1"/>
      <c r="C31" s="1"/>
      <c r="D31" s="1"/>
      <c r="E31" s="1"/>
      <c r="F31" s="1"/>
    </row>
    <row r="32" spans="1:6" ht="48" customHeight="1">
      <c r="B32" s="30" t="s">
        <v>103</v>
      </c>
      <c r="C32" s="31">
        <v>0</v>
      </c>
      <c r="D32" s="1"/>
      <c r="E32" s="30" t="s">
        <v>104</v>
      </c>
      <c r="F32" s="31"/>
    </row>
    <row r="33" spans="1:6" ht="15.75" customHeight="1">
      <c r="B33" s="1"/>
      <c r="C33" s="1"/>
      <c r="D33" s="1"/>
      <c r="E33" s="1"/>
      <c r="F33" s="1"/>
    </row>
    <row r="34" spans="1:6" ht="48" customHeight="1">
      <c r="B34" s="32" t="s">
        <v>105</v>
      </c>
      <c r="C34" s="31">
        <v>0</v>
      </c>
      <c r="D34" s="1"/>
      <c r="E34" s="30" t="s">
        <v>106</v>
      </c>
      <c r="F34" s="31">
        <v>0</v>
      </c>
    </row>
    <row r="35" spans="1:6" ht="15.75" customHeight="1">
      <c r="B35" s="1"/>
      <c r="C35" s="1"/>
      <c r="D35" s="1"/>
      <c r="E35" s="1"/>
      <c r="F35" s="1"/>
    </row>
    <row r="36" spans="1:6" ht="48" customHeight="1">
      <c r="B36" s="30" t="s">
        <v>107</v>
      </c>
      <c r="C36" s="31">
        <v>0</v>
      </c>
      <c r="D36" s="1"/>
      <c r="E36" s="30" t="s">
        <v>108</v>
      </c>
      <c r="F36" s="31">
        <v>0</v>
      </c>
    </row>
    <row r="37" spans="1:6" ht="15.75" customHeight="1">
      <c r="B37" s="1"/>
      <c r="C37" s="1"/>
      <c r="D37" s="1"/>
      <c r="E37" s="1"/>
      <c r="F37" s="1"/>
    </row>
    <row r="38" spans="1:6" ht="34.5" customHeight="1">
      <c r="A38" s="572" t="s">
        <v>109</v>
      </c>
      <c r="B38" s="516"/>
      <c r="C38" s="516"/>
      <c r="D38" s="516"/>
      <c r="E38" s="516"/>
      <c r="F38" s="517"/>
    </row>
    <row r="39" spans="1:6" ht="15.75" customHeight="1">
      <c r="B39" s="1"/>
      <c r="C39" s="1"/>
      <c r="D39" s="1"/>
      <c r="E39" s="1"/>
      <c r="F39" s="1"/>
    </row>
    <row r="40" spans="1:6" ht="48" customHeight="1">
      <c r="B40" s="30" t="s">
        <v>110</v>
      </c>
      <c r="C40" s="31">
        <v>0</v>
      </c>
      <c r="D40" s="1"/>
      <c r="E40" s="1"/>
      <c r="F40" s="1"/>
    </row>
    <row r="41" spans="1:6" ht="15.75" customHeight="1"/>
    <row r="42" spans="1:6" ht="15.75" customHeight="1"/>
    <row r="43" spans="1:6" ht="15.75" customHeight="1"/>
    <row r="44" spans="1:6" ht="15.75" customHeight="1"/>
    <row r="45" spans="1:6" ht="15.75" customHeight="1"/>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30:F30"/>
    <mergeCell ref="A38:F38"/>
    <mergeCell ref="A2:F2"/>
    <mergeCell ref="A7:F7"/>
    <mergeCell ref="B9:C9"/>
    <mergeCell ref="E9:F9"/>
    <mergeCell ref="A22:F22"/>
  </mergeCells>
  <pageMargins left="0.7" right="0.7" top="0.75" bottom="0.75" header="0" footer="0"/>
  <pageSetup paperSize="9" orientation="portrait"/>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DFFBA"/>
  </sheetPr>
  <dimension ref="A1:Z1025"/>
  <sheetViews>
    <sheetView zoomScale="85" workbookViewId="0">
      <pane xSplit="5" ySplit="7" topLeftCell="F8" activePane="bottomRight" state="frozen"/>
      <selection pane="topRight" activeCell="F1" sqref="F1"/>
      <selection pane="bottomLeft" activeCell="A8" sqref="A8"/>
      <selection pane="bottomRight" activeCell="M38" sqref="M38"/>
    </sheetView>
  </sheetViews>
  <sheetFormatPr baseColWidth="10" defaultColWidth="11.125" defaultRowHeight="15" customHeight="1"/>
  <cols>
    <col min="1" max="1" width="10.125" customWidth="1"/>
    <col min="2" max="2" width="32.5" customWidth="1"/>
    <col min="3" max="5" width="20.5" customWidth="1"/>
    <col min="6" max="8" width="15.5" customWidth="1"/>
    <col min="9" max="9" width="2.125" customWidth="1"/>
    <col min="10" max="11" width="16.5" customWidth="1"/>
    <col min="12" max="14" width="12.5" customWidth="1"/>
    <col min="15" max="15" width="2.125" customWidth="1"/>
    <col min="16" max="16" width="16.5" customWidth="1"/>
    <col min="17" max="17" width="1.875" customWidth="1"/>
    <col min="18" max="21" width="16.5" customWidth="1"/>
    <col min="22" max="26" width="8.625" customWidth="1"/>
  </cols>
  <sheetData>
    <row r="1" spans="1:26" ht="15.75" customHeight="1">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75" customHeight="1">
      <c r="A2" s="552" t="s">
        <v>17</v>
      </c>
      <c r="B2" s="516"/>
      <c r="C2" s="516"/>
      <c r="D2" s="516"/>
      <c r="E2" s="517"/>
      <c r="F2" s="12"/>
      <c r="G2" s="12"/>
      <c r="H2" s="12"/>
      <c r="I2" s="12"/>
      <c r="J2" s="12"/>
      <c r="K2" s="12"/>
      <c r="L2" s="12"/>
      <c r="M2" s="12"/>
      <c r="N2" s="12"/>
      <c r="O2" s="12"/>
      <c r="P2" s="12"/>
      <c r="Q2" s="12"/>
      <c r="R2" s="12"/>
      <c r="S2" s="12"/>
      <c r="T2" s="12"/>
      <c r="U2" s="12"/>
      <c r="V2" s="12"/>
      <c r="W2" s="12"/>
      <c r="X2" s="12"/>
      <c r="Y2" s="12"/>
      <c r="Z2" s="12"/>
    </row>
    <row r="3" spans="1:26" ht="15.75" customHeight="1">
      <c r="A3" s="12"/>
      <c r="B3" s="12"/>
      <c r="C3" s="12"/>
      <c r="D3" s="12"/>
      <c r="E3" s="12"/>
      <c r="F3" s="12"/>
      <c r="G3" s="12"/>
      <c r="H3" s="12"/>
      <c r="I3" s="12"/>
      <c r="J3" s="12"/>
      <c r="K3" s="12"/>
      <c r="L3" s="12"/>
      <c r="M3" s="12"/>
      <c r="N3" s="12"/>
      <c r="O3" s="12"/>
      <c r="P3" s="12"/>
      <c r="Q3" s="12"/>
      <c r="R3" s="12"/>
      <c r="S3" s="12"/>
      <c r="T3" s="12"/>
      <c r="U3" s="12"/>
      <c r="V3" s="12"/>
      <c r="W3" s="12"/>
      <c r="X3" s="12"/>
      <c r="Y3" s="12"/>
      <c r="Z3" s="12"/>
    </row>
    <row r="4" spans="1:26" ht="15.75" customHeight="1">
      <c r="A4" s="12"/>
      <c r="B4" s="3" t="s">
        <v>787</v>
      </c>
      <c r="C4" s="12"/>
      <c r="D4" s="12"/>
      <c r="E4" s="12"/>
      <c r="F4" s="12"/>
      <c r="G4" s="12"/>
      <c r="H4" s="12"/>
      <c r="I4" s="12"/>
      <c r="J4" s="12"/>
      <c r="K4" s="12"/>
      <c r="L4" s="12"/>
      <c r="M4" s="12"/>
      <c r="N4" s="12"/>
      <c r="O4" s="12"/>
      <c r="P4" s="12"/>
      <c r="Q4" s="12"/>
      <c r="R4" s="12"/>
      <c r="S4" s="12"/>
      <c r="T4" s="12"/>
      <c r="U4" s="12"/>
      <c r="V4" s="12"/>
      <c r="W4" s="12"/>
      <c r="X4" s="12"/>
      <c r="Y4" s="12"/>
      <c r="Z4" s="12"/>
    </row>
    <row r="5" spans="1:26" ht="15.75" customHeight="1">
      <c r="A5" s="12"/>
      <c r="B5" s="33" t="s">
        <v>111</v>
      </c>
      <c r="C5" s="12"/>
      <c r="D5" s="12"/>
      <c r="E5" s="12"/>
      <c r="F5" s="12"/>
      <c r="G5" s="12"/>
      <c r="H5" s="12"/>
      <c r="I5" s="12"/>
      <c r="J5" s="12"/>
      <c r="K5" s="12"/>
      <c r="L5" s="12"/>
      <c r="M5" s="12"/>
      <c r="N5" s="12"/>
      <c r="O5" s="12"/>
      <c r="P5" s="12"/>
      <c r="Q5" s="12"/>
      <c r="R5" s="12"/>
      <c r="S5" s="12"/>
      <c r="T5" s="12"/>
      <c r="U5" s="12"/>
      <c r="V5" s="12"/>
      <c r="W5" s="12"/>
      <c r="X5" s="12"/>
      <c r="Y5" s="12"/>
      <c r="Z5" s="12"/>
    </row>
    <row r="6" spans="1:26" ht="15.75" customHeight="1">
      <c r="A6" s="12"/>
      <c r="B6" s="34" t="s">
        <v>112</v>
      </c>
      <c r="C6" s="12"/>
      <c r="D6" s="12"/>
      <c r="E6" s="12"/>
      <c r="F6" s="12"/>
      <c r="G6" s="12"/>
      <c r="H6" s="12"/>
      <c r="I6" s="12"/>
      <c r="J6" s="12"/>
      <c r="K6" s="12"/>
      <c r="L6" s="12"/>
      <c r="M6" s="12"/>
      <c r="N6" s="12"/>
      <c r="O6" s="12"/>
      <c r="P6" s="12"/>
      <c r="Q6" s="12"/>
      <c r="R6" s="12"/>
      <c r="S6" s="12"/>
      <c r="T6" s="12"/>
      <c r="U6" s="12"/>
      <c r="V6" s="12"/>
      <c r="W6" s="12"/>
      <c r="X6" s="12"/>
      <c r="Y6" s="12"/>
      <c r="Z6" s="12"/>
    </row>
    <row r="7" spans="1:26" ht="15.75" customHeight="1">
      <c r="A7" s="12"/>
      <c r="B7" s="3" t="s">
        <v>113</v>
      </c>
      <c r="C7" s="12"/>
      <c r="D7" s="12"/>
      <c r="E7" s="12"/>
      <c r="F7" s="12"/>
      <c r="G7" s="12"/>
      <c r="H7" s="12"/>
      <c r="I7" s="12"/>
      <c r="J7" s="12"/>
      <c r="K7" s="12"/>
      <c r="L7" s="12"/>
      <c r="M7" s="12"/>
      <c r="N7" s="12"/>
      <c r="O7" s="12"/>
      <c r="P7" s="12"/>
      <c r="Q7" s="12"/>
      <c r="R7" s="12"/>
      <c r="S7" s="12"/>
      <c r="T7" s="12"/>
      <c r="U7" s="12"/>
      <c r="V7" s="12"/>
      <c r="W7" s="12"/>
      <c r="X7" s="12"/>
      <c r="Y7" s="12"/>
      <c r="Z7" s="12"/>
    </row>
    <row r="8" spans="1:26" ht="15.75" customHeight="1">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c r="A9" s="581" t="s">
        <v>114</v>
      </c>
      <c r="B9" s="582" t="s">
        <v>115</v>
      </c>
      <c r="C9" s="575" t="s">
        <v>116</v>
      </c>
      <c r="D9" s="575" t="s">
        <v>117</v>
      </c>
      <c r="E9" s="579" t="s">
        <v>118</v>
      </c>
      <c r="F9" s="575" t="s">
        <v>119</v>
      </c>
      <c r="G9" s="579" t="s">
        <v>120</v>
      </c>
      <c r="H9" s="575" t="s">
        <v>121</v>
      </c>
      <c r="I9" s="12"/>
      <c r="J9" s="577" t="s">
        <v>122</v>
      </c>
      <c r="K9" s="519"/>
      <c r="L9" s="577" t="s">
        <v>123</v>
      </c>
      <c r="M9" s="521"/>
      <c r="N9" s="519"/>
      <c r="O9" s="35"/>
      <c r="P9" s="575" t="s">
        <v>124</v>
      </c>
      <c r="Q9" s="35"/>
      <c r="R9" s="575" t="s">
        <v>125</v>
      </c>
      <c r="S9" s="577" t="s">
        <v>126</v>
      </c>
      <c r="T9" s="519"/>
      <c r="U9" s="575" t="s">
        <v>127</v>
      </c>
      <c r="V9" s="12"/>
      <c r="W9" s="12"/>
      <c r="X9" s="12"/>
      <c r="Y9" s="12"/>
      <c r="Z9" s="12"/>
    </row>
    <row r="10" spans="1:26" ht="55.5" customHeight="1">
      <c r="A10" s="576"/>
      <c r="B10" s="583"/>
      <c r="C10" s="576"/>
      <c r="D10" s="576"/>
      <c r="E10" s="580"/>
      <c r="F10" s="576"/>
      <c r="G10" s="580"/>
      <c r="H10" s="576"/>
      <c r="I10" s="12"/>
      <c r="J10" s="36" t="s">
        <v>128</v>
      </c>
      <c r="K10" s="37" t="s">
        <v>129</v>
      </c>
      <c r="L10" s="38" t="s">
        <v>130</v>
      </c>
      <c r="M10" s="36" t="s">
        <v>131</v>
      </c>
      <c r="N10" s="36" t="s">
        <v>132</v>
      </c>
      <c r="O10" s="35"/>
      <c r="P10" s="576"/>
      <c r="Q10" s="35"/>
      <c r="R10" s="576"/>
      <c r="S10" s="39" t="s">
        <v>133</v>
      </c>
      <c r="T10" s="39" t="s">
        <v>134</v>
      </c>
      <c r="U10" s="576"/>
      <c r="V10" s="12"/>
      <c r="W10" s="12"/>
      <c r="X10" s="12"/>
      <c r="Y10" s="12"/>
      <c r="Z10" s="12"/>
    </row>
    <row r="11" spans="1:26" ht="7.5" customHeight="1">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ht="15.75" customHeight="1">
      <c r="A12" s="578" t="s">
        <v>135</v>
      </c>
      <c r="B12" s="521"/>
      <c r="C12" s="519"/>
      <c r="D12" s="40"/>
      <c r="E12" s="12"/>
      <c r="F12" s="12"/>
      <c r="G12" s="12"/>
      <c r="H12" s="12"/>
      <c r="I12" s="12"/>
      <c r="J12" s="12"/>
      <c r="K12" s="12"/>
      <c r="L12" s="12"/>
      <c r="M12" s="12"/>
      <c r="N12" s="12"/>
      <c r="O12" s="12"/>
      <c r="P12" s="12"/>
      <c r="Q12" s="12"/>
      <c r="R12" s="41"/>
      <c r="S12" s="12"/>
      <c r="T12" s="41"/>
      <c r="U12" s="12"/>
      <c r="V12" s="12"/>
      <c r="W12" s="12"/>
      <c r="X12" s="12"/>
      <c r="Y12" s="12"/>
      <c r="Z12" s="12"/>
    </row>
    <row r="13" spans="1:26" ht="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ht="15.75" customHeight="1">
      <c r="A14" s="42" t="s">
        <v>136</v>
      </c>
      <c r="B14" s="43" t="s">
        <v>780</v>
      </c>
      <c r="C14" s="44" t="s">
        <v>137</v>
      </c>
      <c r="D14" s="44" t="s">
        <v>138</v>
      </c>
      <c r="E14" s="44" t="s">
        <v>139</v>
      </c>
      <c r="F14" s="45">
        <v>20</v>
      </c>
      <c r="G14" s="45">
        <v>10</v>
      </c>
      <c r="H14" s="46">
        <v>20</v>
      </c>
      <c r="I14" s="12"/>
      <c r="J14" s="514"/>
      <c r="K14" s="48">
        <v>30</v>
      </c>
      <c r="L14" s="44" t="s">
        <v>140</v>
      </c>
      <c r="M14" s="44" t="s">
        <v>141</v>
      </c>
      <c r="N14" s="44" t="s">
        <v>141</v>
      </c>
      <c r="O14" s="12"/>
      <c r="P14" s="49"/>
      <c r="Q14" s="12"/>
      <c r="R14" s="44"/>
      <c r="S14" s="50"/>
      <c r="T14" s="44" t="s">
        <v>143</v>
      </c>
      <c r="U14" s="50">
        <v>0</v>
      </c>
      <c r="V14" s="12"/>
      <c r="W14" s="12"/>
      <c r="X14" s="12"/>
      <c r="Y14" s="12"/>
      <c r="Z14" s="12"/>
    </row>
    <row r="15" spans="1:26" ht="15.75" customHeight="1">
      <c r="A15" s="42"/>
      <c r="B15" s="43"/>
      <c r="C15" s="44"/>
      <c r="D15" s="44"/>
      <c r="E15" s="44"/>
      <c r="F15" s="45"/>
      <c r="G15" s="45"/>
      <c r="H15" s="46"/>
      <c r="I15" s="12"/>
      <c r="J15" s="47"/>
      <c r="K15" s="51"/>
      <c r="L15" s="44"/>
      <c r="M15" s="44"/>
      <c r="N15" s="44"/>
      <c r="O15" s="12"/>
      <c r="P15" s="49"/>
      <c r="Q15" s="12"/>
      <c r="R15" s="44"/>
      <c r="S15" s="50"/>
      <c r="T15" s="44"/>
      <c r="U15" s="50"/>
      <c r="V15" s="12"/>
      <c r="W15" s="12"/>
      <c r="X15" s="12"/>
      <c r="Y15" s="12"/>
      <c r="Z15" s="12"/>
    </row>
    <row r="16" spans="1:26" ht="15.75" customHeight="1">
      <c r="A16" s="42"/>
      <c r="B16" s="43"/>
      <c r="C16" s="44"/>
      <c r="D16" s="44"/>
      <c r="E16" s="44"/>
      <c r="F16" s="45"/>
      <c r="G16" s="45"/>
      <c r="H16" s="46"/>
      <c r="I16" s="12"/>
      <c r="J16" s="47"/>
      <c r="K16" s="51"/>
      <c r="L16" s="44"/>
      <c r="M16" s="44"/>
      <c r="N16" s="44"/>
      <c r="O16" s="12"/>
      <c r="P16" s="49"/>
      <c r="Q16" s="12"/>
      <c r="R16" s="44"/>
      <c r="S16" s="50"/>
      <c r="T16" s="44"/>
      <c r="U16" s="50"/>
      <c r="V16" s="12"/>
      <c r="W16" s="12"/>
      <c r="X16" s="12"/>
      <c r="Y16" s="12"/>
      <c r="Z16" s="12"/>
    </row>
    <row r="17" spans="1:26" ht="15.75" customHeight="1">
      <c r="A17" s="42"/>
      <c r="B17" s="52"/>
      <c r="C17" s="44"/>
      <c r="D17" s="44"/>
      <c r="E17" s="44"/>
      <c r="F17" s="45"/>
      <c r="G17" s="45"/>
      <c r="H17" s="46"/>
      <c r="I17" s="12"/>
      <c r="J17" s="47"/>
      <c r="K17" s="51"/>
      <c r="L17" s="44"/>
      <c r="M17" s="44"/>
      <c r="N17" s="44"/>
      <c r="O17" s="12"/>
      <c r="P17" s="49"/>
      <c r="Q17" s="12"/>
      <c r="R17" s="44"/>
      <c r="S17" s="50"/>
      <c r="T17" s="44"/>
      <c r="U17" s="50"/>
      <c r="V17" s="12"/>
      <c r="W17" s="12"/>
      <c r="X17" s="12"/>
      <c r="Y17" s="12"/>
      <c r="Z17" s="12"/>
    </row>
    <row r="18" spans="1:26" ht="15.75" customHeight="1">
      <c r="A18" s="42"/>
      <c r="B18" s="53"/>
      <c r="C18" s="44"/>
      <c r="D18" s="44"/>
      <c r="E18" s="44"/>
      <c r="F18" s="45"/>
      <c r="G18" s="45"/>
      <c r="H18" s="46"/>
      <c r="I18" s="12"/>
      <c r="J18" s="47"/>
      <c r="K18" s="51"/>
      <c r="L18" s="44"/>
      <c r="M18" s="44"/>
      <c r="N18" s="44"/>
      <c r="O18" s="12"/>
      <c r="P18" s="49"/>
      <c r="Q18" s="12"/>
      <c r="R18" s="44"/>
      <c r="S18" s="50"/>
      <c r="T18" s="44"/>
      <c r="U18" s="50"/>
      <c r="V18" s="12"/>
      <c r="W18" s="12"/>
      <c r="X18" s="12"/>
      <c r="Y18" s="12"/>
      <c r="Z18" s="12"/>
    </row>
    <row r="19" spans="1:26" ht="15.75" customHeight="1">
      <c r="A19" s="42"/>
      <c r="B19" s="53"/>
      <c r="C19" s="44"/>
      <c r="D19" s="44"/>
      <c r="E19" s="44"/>
      <c r="F19" s="45"/>
      <c r="G19" s="45"/>
      <c r="H19" s="46"/>
      <c r="I19" s="12"/>
      <c r="J19" s="47"/>
      <c r="K19" s="51"/>
      <c r="L19" s="44"/>
      <c r="M19" s="44"/>
      <c r="N19" s="44"/>
      <c r="O19" s="12"/>
      <c r="P19" s="49"/>
      <c r="Q19" s="12"/>
      <c r="R19" s="44"/>
      <c r="S19" s="50"/>
      <c r="T19" s="44"/>
      <c r="U19" s="50"/>
      <c r="V19" s="12"/>
      <c r="W19" s="12"/>
      <c r="X19" s="12"/>
      <c r="Y19" s="12"/>
      <c r="Z19" s="12"/>
    </row>
    <row r="20" spans="1:26" ht="15.75" customHeight="1">
      <c r="A20" s="42"/>
      <c r="B20" s="43"/>
      <c r="C20" s="44"/>
      <c r="D20" s="44"/>
      <c r="E20" s="44"/>
      <c r="F20" s="54"/>
      <c r="G20" s="45"/>
      <c r="H20" s="55"/>
      <c r="I20" s="12"/>
      <c r="J20" s="47"/>
      <c r="K20" s="51"/>
      <c r="L20" s="44"/>
      <c r="M20" s="44"/>
      <c r="N20" s="44"/>
      <c r="O20" s="12"/>
      <c r="P20" s="49"/>
      <c r="Q20" s="12"/>
      <c r="R20" s="44"/>
      <c r="S20" s="50"/>
      <c r="T20" s="44"/>
      <c r="U20" s="50"/>
      <c r="V20" s="12"/>
      <c r="W20" s="12"/>
      <c r="X20" s="12"/>
      <c r="Y20" s="12"/>
      <c r="Z20" s="12"/>
    </row>
    <row r="21" spans="1:26" ht="15.75" customHeight="1">
      <c r="A21" s="42"/>
      <c r="B21" s="43"/>
      <c r="C21" s="44"/>
      <c r="D21" s="44"/>
      <c r="E21" s="44"/>
      <c r="F21" s="54"/>
      <c r="G21" s="45"/>
      <c r="H21" s="55"/>
      <c r="I21" s="12"/>
      <c r="J21" s="47"/>
      <c r="K21" s="51"/>
      <c r="L21" s="44"/>
      <c r="M21" s="44"/>
      <c r="N21" s="44"/>
      <c r="O21" s="12"/>
      <c r="P21" s="49"/>
      <c r="Q21" s="12"/>
      <c r="R21" s="44"/>
      <c r="S21" s="50"/>
      <c r="T21" s="44"/>
      <c r="U21" s="50"/>
      <c r="V21" s="12"/>
      <c r="W21" s="12"/>
      <c r="X21" s="12"/>
      <c r="Y21" s="12"/>
      <c r="Z21" s="12"/>
    </row>
    <row r="22" spans="1:26" ht="15.75" customHeight="1">
      <c r="A22" s="42"/>
      <c r="B22" s="43"/>
      <c r="C22" s="44"/>
      <c r="D22" s="44"/>
      <c r="E22" s="44"/>
      <c r="F22" s="45"/>
      <c r="G22" s="45"/>
      <c r="H22" s="46"/>
      <c r="I22" s="12"/>
      <c r="J22" s="47"/>
      <c r="K22" s="51"/>
      <c r="L22" s="44"/>
      <c r="M22" s="44"/>
      <c r="N22" s="44"/>
      <c r="O22" s="12"/>
      <c r="P22" s="49"/>
      <c r="Q22" s="12"/>
      <c r="R22" s="44"/>
      <c r="S22" s="50"/>
      <c r="T22" s="44"/>
      <c r="U22" s="50"/>
      <c r="V22" s="12"/>
      <c r="W22" s="12"/>
      <c r="X22" s="12"/>
      <c r="Y22" s="12"/>
      <c r="Z22" s="12"/>
    </row>
    <row r="23" spans="1:26" ht="15.75" customHeight="1">
      <c r="A23" s="42"/>
      <c r="B23" s="43"/>
      <c r="C23" s="44"/>
      <c r="D23" s="44"/>
      <c r="E23" s="44"/>
      <c r="F23" s="45"/>
      <c r="G23" s="45"/>
      <c r="H23" s="46"/>
      <c r="I23" s="12"/>
      <c r="J23" s="47"/>
      <c r="K23" s="51"/>
      <c r="L23" s="44"/>
      <c r="M23" s="44"/>
      <c r="N23" s="44"/>
      <c r="O23" s="12"/>
      <c r="P23" s="49"/>
      <c r="Q23" s="12"/>
      <c r="R23" s="44"/>
      <c r="S23" s="50"/>
      <c r="T23" s="44"/>
      <c r="U23" s="50"/>
      <c r="V23" s="12"/>
      <c r="W23" s="12"/>
      <c r="X23" s="12"/>
      <c r="Y23" s="12"/>
      <c r="Z23" s="12"/>
    </row>
    <row r="24" spans="1:26" ht="15.75" customHeight="1">
      <c r="A24" s="42"/>
      <c r="B24" s="43"/>
      <c r="C24" s="44"/>
      <c r="D24" s="44"/>
      <c r="E24" s="44"/>
      <c r="F24" s="45"/>
      <c r="G24" s="45"/>
      <c r="H24" s="46"/>
      <c r="I24" s="12"/>
      <c r="J24" s="47"/>
      <c r="K24" s="51"/>
      <c r="L24" s="44"/>
      <c r="M24" s="44"/>
      <c r="N24" s="44"/>
      <c r="O24" s="12"/>
      <c r="P24" s="49"/>
      <c r="Q24" s="12"/>
      <c r="R24" s="44"/>
      <c r="S24" s="50"/>
      <c r="T24" s="44"/>
      <c r="U24" s="50"/>
      <c r="V24" s="12"/>
      <c r="W24" s="12"/>
      <c r="X24" s="12"/>
      <c r="Y24" s="12"/>
      <c r="Z24" s="12"/>
    </row>
    <row r="25" spans="1:26" ht="15.75" customHeight="1">
      <c r="A25" s="42"/>
      <c r="B25" s="43"/>
      <c r="C25" s="44"/>
      <c r="D25" s="44"/>
      <c r="E25" s="44"/>
      <c r="F25" s="45"/>
      <c r="G25" s="45"/>
      <c r="H25" s="46"/>
      <c r="I25" s="12"/>
      <c r="J25" s="47"/>
      <c r="K25" s="51"/>
      <c r="L25" s="44"/>
      <c r="M25" s="44"/>
      <c r="N25" s="44"/>
      <c r="O25" s="12"/>
      <c r="P25" s="49"/>
      <c r="Q25" s="12"/>
      <c r="R25" s="44"/>
      <c r="S25" s="50"/>
      <c r="T25" s="44"/>
      <c r="U25" s="50"/>
      <c r="V25" s="12"/>
      <c r="W25" s="12"/>
      <c r="X25" s="12"/>
      <c r="Y25" s="12"/>
      <c r="Z25" s="12"/>
    </row>
    <row r="26" spans="1:26" ht="15.75" customHeight="1">
      <c r="A26" s="42"/>
      <c r="B26" s="43"/>
      <c r="C26" s="44"/>
      <c r="D26" s="44"/>
      <c r="E26" s="44"/>
      <c r="F26" s="45"/>
      <c r="G26" s="45"/>
      <c r="H26" s="46"/>
      <c r="I26" s="12"/>
      <c r="J26" s="47"/>
      <c r="K26" s="51"/>
      <c r="L26" s="44"/>
      <c r="M26" s="44"/>
      <c r="N26" s="44"/>
      <c r="O26" s="12"/>
      <c r="P26" s="49"/>
      <c r="Q26" s="12"/>
      <c r="R26" s="44"/>
      <c r="S26" s="50"/>
      <c r="T26" s="44"/>
      <c r="U26" s="50"/>
      <c r="V26" s="12"/>
      <c r="W26" s="12"/>
      <c r="X26" s="12"/>
      <c r="Y26" s="12"/>
      <c r="Z26" s="12"/>
    </row>
    <row r="27" spans="1:26" ht="15.75" customHeight="1">
      <c r="A27" s="42"/>
      <c r="B27" s="43"/>
      <c r="C27" s="44"/>
      <c r="D27" s="44"/>
      <c r="E27" s="44"/>
      <c r="F27" s="45"/>
      <c r="G27" s="45"/>
      <c r="H27" s="46"/>
      <c r="I27" s="12"/>
      <c r="J27" s="47"/>
      <c r="K27" s="51"/>
      <c r="L27" s="44"/>
      <c r="M27" s="44"/>
      <c r="N27" s="44"/>
      <c r="O27" s="12"/>
      <c r="P27" s="49"/>
      <c r="Q27" s="12"/>
      <c r="R27" s="44"/>
      <c r="S27" s="50"/>
      <c r="T27" s="44"/>
      <c r="U27" s="50"/>
      <c r="V27" s="12"/>
      <c r="W27" s="12"/>
      <c r="X27" s="12"/>
      <c r="Y27" s="12"/>
      <c r="Z27" s="12"/>
    </row>
    <row r="28" spans="1:26" ht="15.75" customHeight="1">
      <c r="A28" s="42"/>
      <c r="B28" s="43"/>
      <c r="C28" s="44"/>
      <c r="D28" s="44"/>
      <c r="E28" s="44"/>
      <c r="F28" s="45"/>
      <c r="G28" s="45"/>
      <c r="H28" s="46"/>
      <c r="I28" s="12"/>
      <c r="J28" s="47"/>
      <c r="K28" s="51"/>
      <c r="L28" s="44"/>
      <c r="M28" s="44"/>
      <c r="N28" s="44"/>
      <c r="O28" s="12"/>
      <c r="P28" s="49"/>
      <c r="Q28" s="12"/>
      <c r="R28" s="44"/>
      <c r="S28" s="50"/>
      <c r="T28" s="44"/>
      <c r="U28" s="50"/>
      <c r="V28" s="12"/>
      <c r="W28" s="12"/>
      <c r="X28" s="12"/>
      <c r="Y28" s="12"/>
      <c r="Z28" s="12"/>
    </row>
    <row r="29" spans="1:26" ht="15.75" customHeight="1">
      <c r="A29" s="42"/>
      <c r="B29" s="43"/>
      <c r="C29" s="44"/>
      <c r="D29" s="44"/>
      <c r="E29" s="44"/>
      <c r="F29" s="45"/>
      <c r="G29" s="45"/>
      <c r="H29" s="46"/>
      <c r="I29" s="12"/>
      <c r="J29" s="47"/>
      <c r="K29" s="51"/>
      <c r="L29" s="44"/>
      <c r="M29" s="44"/>
      <c r="N29" s="44"/>
      <c r="O29" s="12"/>
      <c r="P29" s="49"/>
      <c r="Q29" s="12"/>
      <c r="R29" s="44"/>
      <c r="S29" s="50"/>
      <c r="T29" s="44"/>
      <c r="U29" s="50"/>
      <c r="V29" s="12"/>
      <c r="W29" s="12"/>
      <c r="X29" s="12"/>
      <c r="Y29" s="12"/>
      <c r="Z29" s="12"/>
    </row>
    <row r="30" spans="1:26" ht="15.75" hidden="1" customHeight="1">
      <c r="A30" s="12" t="str">
        <f>IF(AND(COUNTIF(A14:A29,"validé")=COUNTA(A14:A29),COUNTA(A14:A29)=ROWS(A14:A29)),"OK","À faire")</f>
        <v>À faire</v>
      </c>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c r="A32" s="578" t="s">
        <v>152</v>
      </c>
      <c r="B32" s="521"/>
      <c r="C32" s="519"/>
      <c r="D32" s="40"/>
      <c r="E32" s="12"/>
      <c r="F32" s="12"/>
      <c r="G32" s="12"/>
      <c r="H32" s="12"/>
      <c r="I32" s="12"/>
      <c r="J32" s="12"/>
      <c r="K32" s="12"/>
      <c r="L32" s="12"/>
      <c r="M32" s="12"/>
      <c r="N32" s="12"/>
      <c r="O32" s="12"/>
      <c r="P32" s="12"/>
      <c r="Q32" s="12"/>
      <c r="R32" s="12"/>
      <c r="S32" s="12"/>
      <c r="T32" s="12"/>
      <c r="U32" s="12"/>
      <c r="V32" s="12"/>
      <c r="W32" s="12"/>
      <c r="X32" s="12"/>
      <c r="Y32" s="12"/>
      <c r="Z32" s="12"/>
    </row>
    <row r="33" spans="1:26" ht="4.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c r="A34" s="42" t="s">
        <v>136</v>
      </c>
      <c r="B34" s="43" t="s">
        <v>783</v>
      </c>
      <c r="C34" s="44" t="s">
        <v>153</v>
      </c>
      <c r="D34" s="44" t="s">
        <v>138</v>
      </c>
      <c r="E34" s="44" t="s">
        <v>139</v>
      </c>
      <c r="F34" s="50"/>
      <c r="G34" s="50"/>
      <c r="H34" s="46"/>
      <c r="I34" s="12"/>
      <c r="J34" s="47"/>
      <c r="K34" s="51">
        <v>50</v>
      </c>
      <c r="L34" s="44" t="s">
        <v>140</v>
      </c>
      <c r="M34" s="44" t="s">
        <v>141</v>
      </c>
      <c r="N34" s="44" t="s">
        <v>141</v>
      </c>
      <c r="O34" s="12"/>
      <c r="P34" s="49"/>
      <c r="Q34" s="12"/>
      <c r="R34" s="44"/>
      <c r="S34" s="50"/>
      <c r="T34" s="44"/>
      <c r="U34" s="50"/>
      <c r="V34" s="12"/>
      <c r="W34" s="12"/>
      <c r="X34" s="12"/>
      <c r="Y34" s="12"/>
      <c r="Z34" s="12"/>
    </row>
    <row r="35" spans="1:26" ht="15.75" customHeight="1">
      <c r="A35" s="42"/>
      <c r="B35" s="43"/>
      <c r="C35" s="44"/>
      <c r="D35" s="44"/>
      <c r="E35" s="44"/>
      <c r="F35" s="50"/>
      <c r="G35" s="50"/>
      <c r="H35" s="46"/>
      <c r="I35" s="12"/>
      <c r="J35" s="47"/>
      <c r="K35" s="51"/>
      <c r="L35" s="44"/>
      <c r="M35" s="44"/>
      <c r="N35" s="44"/>
      <c r="O35" s="12"/>
      <c r="P35" s="49"/>
      <c r="Q35" s="12"/>
      <c r="R35" s="44"/>
      <c r="S35" s="50"/>
      <c r="T35" s="44"/>
      <c r="U35" s="50"/>
      <c r="V35" s="12"/>
      <c r="W35" s="12"/>
      <c r="X35" s="12"/>
      <c r="Y35" s="12"/>
      <c r="Z35" s="12"/>
    </row>
    <row r="36" spans="1:26" ht="15.75" customHeight="1">
      <c r="A36" s="42"/>
      <c r="B36" s="43"/>
      <c r="C36" s="44"/>
      <c r="D36" s="44"/>
      <c r="E36" s="44"/>
      <c r="F36" s="50"/>
      <c r="G36" s="50"/>
      <c r="H36" s="46"/>
      <c r="I36" s="12"/>
      <c r="J36" s="47"/>
      <c r="K36" s="51"/>
      <c r="L36" s="44"/>
      <c r="M36" s="44"/>
      <c r="N36" s="44"/>
      <c r="O36" s="12"/>
      <c r="P36" s="49"/>
      <c r="Q36" s="12"/>
      <c r="R36" s="44"/>
      <c r="S36" s="50"/>
      <c r="T36" s="44"/>
      <c r="U36" s="50"/>
      <c r="V36" s="12"/>
      <c r="W36" s="12"/>
      <c r="X36" s="12"/>
      <c r="Y36" s="12"/>
      <c r="Z36" s="12"/>
    </row>
    <row r="37" spans="1:26" ht="15.75" customHeight="1">
      <c r="A37" s="42"/>
      <c r="B37" s="43"/>
      <c r="C37" s="44"/>
      <c r="D37" s="44"/>
      <c r="E37" s="44"/>
      <c r="F37" s="50"/>
      <c r="G37" s="50"/>
      <c r="H37" s="46"/>
      <c r="I37" s="12"/>
      <c r="J37" s="47"/>
      <c r="K37" s="51"/>
      <c r="L37" s="44"/>
      <c r="M37" s="44"/>
      <c r="N37" s="44"/>
      <c r="O37" s="12"/>
      <c r="P37" s="49"/>
      <c r="Q37" s="12"/>
      <c r="R37" s="44"/>
      <c r="S37" s="50"/>
      <c r="T37" s="44"/>
      <c r="U37" s="50"/>
      <c r="V37" s="12"/>
      <c r="W37" s="12"/>
      <c r="X37" s="12"/>
      <c r="Y37" s="12"/>
      <c r="Z37" s="12"/>
    </row>
    <row r="38" spans="1:26" ht="15.75" customHeight="1">
      <c r="A38" s="42"/>
      <c r="B38" s="43"/>
      <c r="C38" s="44"/>
      <c r="D38" s="44"/>
      <c r="E38" s="44"/>
      <c r="F38" s="50"/>
      <c r="G38" s="50"/>
      <c r="H38" s="46"/>
      <c r="I38" s="12"/>
      <c r="J38" s="47"/>
      <c r="K38" s="51"/>
      <c r="L38" s="44"/>
      <c r="M38" s="44"/>
      <c r="N38" s="44"/>
      <c r="O38" s="12"/>
      <c r="P38" s="49"/>
      <c r="Q38" s="12"/>
      <c r="R38" s="44"/>
      <c r="S38" s="50"/>
      <c r="T38" s="44"/>
      <c r="U38" s="50"/>
      <c r="V38" s="12"/>
      <c r="W38" s="12"/>
      <c r="X38" s="12"/>
      <c r="Y38" s="12"/>
      <c r="Z38" s="12"/>
    </row>
    <row r="39" spans="1:26" ht="15.75" customHeight="1">
      <c r="A39" s="42"/>
      <c r="B39" s="56"/>
      <c r="C39" s="44"/>
      <c r="D39" s="44"/>
      <c r="E39" s="44"/>
      <c r="F39" s="50"/>
      <c r="G39" s="50"/>
      <c r="H39" s="46"/>
      <c r="I39" s="12"/>
      <c r="J39" s="47"/>
      <c r="K39" s="51"/>
      <c r="L39" s="44"/>
      <c r="M39" s="44"/>
      <c r="N39" s="44"/>
      <c r="O39" s="12"/>
      <c r="P39" s="49"/>
      <c r="Q39" s="12"/>
      <c r="R39" s="44"/>
      <c r="S39" s="50"/>
      <c r="T39" s="44"/>
      <c r="U39" s="50"/>
      <c r="V39" s="12"/>
      <c r="W39" s="12"/>
      <c r="X39" s="12"/>
      <c r="Y39" s="12"/>
      <c r="Z39" s="12"/>
    </row>
    <row r="40" spans="1:26" ht="15.75" customHeight="1">
      <c r="A40" s="42"/>
      <c r="B40" s="56"/>
      <c r="C40" s="44"/>
      <c r="D40" s="44"/>
      <c r="E40" s="44"/>
      <c r="F40" s="50"/>
      <c r="G40" s="50"/>
      <c r="H40" s="46"/>
      <c r="I40" s="12"/>
      <c r="J40" s="47"/>
      <c r="K40" s="51"/>
      <c r="L40" s="44"/>
      <c r="M40" s="44"/>
      <c r="N40" s="44"/>
      <c r="O40" s="12"/>
      <c r="P40" s="49"/>
      <c r="Q40" s="12"/>
      <c r="R40" s="44"/>
      <c r="S40" s="50"/>
      <c r="T40" s="44"/>
      <c r="U40" s="50"/>
      <c r="V40" s="12"/>
      <c r="W40" s="12"/>
      <c r="X40" s="12"/>
      <c r="Y40" s="12"/>
      <c r="Z40" s="12"/>
    </row>
    <row r="41" spans="1:26" ht="15.75" customHeight="1">
      <c r="A41" s="42"/>
      <c r="B41" s="43"/>
      <c r="C41" s="44"/>
      <c r="D41" s="44"/>
      <c r="E41" s="44"/>
      <c r="F41" s="50"/>
      <c r="G41" s="50"/>
      <c r="H41" s="46"/>
      <c r="I41" s="12"/>
      <c r="J41" s="47"/>
      <c r="K41" s="51"/>
      <c r="L41" s="44"/>
      <c r="M41" s="44"/>
      <c r="N41" s="44"/>
      <c r="O41" s="12"/>
      <c r="P41" s="49"/>
      <c r="Q41" s="12"/>
      <c r="R41" s="44"/>
      <c r="S41" s="50"/>
      <c r="T41" s="44"/>
      <c r="U41" s="50"/>
      <c r="V41" s="12"/>
      <c r="W41" s="12"/>
      <c r="X41" s="12"/>
      <c r="Y41" s="12"/>
      <c r="Z41" s="12"/>
    </row>
    <row r="42" spans="1:26" ht="15.75" customHeight="1">
      <c r="A42" s="42"/>
      <c r="B42" s="43"/>
      <c r="C42" s="44"/>
      <c r="D42" s="44"/>
      <c r="E42" s="44"/>
      <c r="F42" s="50"/>
      <c r="G42" s="50"/>
      <c r="H42" s="46"/>
      <c r="I42" s="12"/>
      <c r="J42" s="47"/>
      <c r="K42" s="51"/>
      <c r="L42" s="44"/>
      <c r="M42" s="44"/>
      <c r="N42" s="44"/>
      <c r="O42" s="12"/>
      <c r="P42" s="49"/>
      <c r="Q42" s="12"/>
      <c r="R42" s="44"/>
      <c r="S42" s="50"/>
      <c r="T42" s="44"/>
      <c r="U42" s="50"/>
      <c r="V42" s="12"/>
      <c r="W42" s="12"/>
      <c r="X42" s="12"/>
      <c r="Y42" s="12"/>
      <c r="Z42" s="12"/>
    </row>
    <row r="43" spans="1:26" ht="15.75" customHeight="1">
      <c r="A43" s="42"/>
      <c r="B43" s="43"/>
      <c r="C43" s="44"/>
      <c r="D43" s="44"/>
      <c r="E43" s="44"/>
      <c r="F43" s="50"/>
      <c r="G43" s="50"/>
      <c r="H43" s="46"/>
      <c r="I43" s="12"/>
      <c r="J43" s="47"/>
      <c r="K43" s="51"/>
      <c r="L43" s="44"/>
      <c r="M43" s="44"/>
      <c r="N43" s="44"/>
      <c r="O43" s="12"/>
      <c r="P43" s="49"/>
      <c r="Q43" s="12"/>
      <c r="R43" s="44"/>
      <c r="S43" s="50"/>
      <c r="T43" s="44"/>
      <c r="U43" s="50"/>
      <c r="V43" s="12"/>
      <c r="W43" s="12"/>
      <c r="X43" s="12"/>
      <c r="Y43" s="12"/>
      <c r="Z43" s="12"/>
    </row>
    <row r="44" spans="1:26" ht="15.75" customHeight="1">
      <c r="A44" s="42"/>
      <c r="B44" s="57"/>
      <c r="C44" s="44"/>
      <c r="D44" s="44"/>
      <c r="E44" s="44"/>
      <c r="F44" s="50"/>
      <c r="G44" s="50"/>
      <c r="H44" s="46"/>
      <c r="I44" s="12"/>
      <c r="J44" s="47"/>
      <c r="K44" s="51"/>
      <c r="L44" s="44"/>
      <c r="M44" s="44"/>
      <c r="N44" s="44"/>
      <c r="O44" s="12"/>
      <c r="P44" s="49"/>
      <c r="Q44" s="12"/>
      <c r="R44" s="44"/>
      <c r="S44" s="50"/>
      <c r="T44" s="44"/>
      <c r="U44" s="50"/>
      <c r="V44" s="12"/>
      <c r="W44" s="12"/>
      <c r="X44" s="12"/>
      <c r="Y44" s="12"/>
      <c r="Z44" s="12"/>
    </row>
    <row r="45" spans="1:26" ht="15.75" customHeight="1">
      <c r="A45" s="42"/>
      <c r="B45" s="43"/>
      <c r="C45" s="44"/>
      <c r="D45" s="44"/>
      <c r="E45" s="44"/>
      <c r="F45" s="50"/>
      <c r="G45" s="50"/>
      <c r="H45" s="46"/>
      <c r="I45" s="12"/>
      <c r="J45" s="47"/>
      <c r="K45" s="51"/>
      <c r="L45" s="44"/>
      <c r="M45" s="44"/>
      <c r="N45" s="44"/>
      <c r="O45" s="12"/>
      <c r="P45" s="49"/>
      <c r="Q45" s="12"/>
      <c r="R45" s="44"/>
      <c r="S45" s="50"/>
      <c r="T45" s="44"/>
      <c r="U45" s="50"/>
      <c r="V45" s="12"/>
      <c r="W45" s="12"/>
      <c r="X45" s="12"/>
      <c r="Y45" s="12"/>
      <c r="Z45" s="12"/>
    </row>
    <row r="46" spans="1:26" ht="15.75" customHeight="1">
      <c r="A46" s="42"/>
      <c r="B46" s="43"/>
      <c r="C46" s="44"/>
      <c r="D46" s="44"/>
      <c r="E46" s="44"/>
      <c r="F46" s="50"/>
      <c r="G46" s="50"/>
      <c r="H46" s="46"/>
      <c r="I46" s="12"/>
      <c r="J46" s="47"/>
      <c r="K46" s="51"/>
      <c r="L46" s="44"/>
      <c r="M46" s="44"/>
      <c r="N46" s="44"/>
      <c r="O46" s="12"/>
      <c r="P46" s="49"/>
      <c r="Q46" s="12"/>
      <c r="R46" s="44"/>
      <c r="S46" s="50"/>
      <c r="T46" s="44"/>
      <c r="U46" s="50"/>
      <c r="V46" s="12"/>
      <c r="W46" s="12"/>
      <c r="X46" s="12"/>
      <c r="Y46" s="12"/>
      <c r="Z46" s="12"/>
    </row>
    <row r="47" spans="1:26" ht="15.75" customHeight="1">
      <c r="A47" s="42"/>
      <c r="B47" s="43"/>
      <c r="C47" s="44"/>
      <c r="D47" s="44"/>
      <c r="E47" s="44"/>
      <c r="F47" s="50"/>
      <c r="G47" s="50"/>
      <c r="H47" s="46"/>
      <c r="I47" s="12"/>
      <c r="J47" s="47"/>
      <c r="K47" s="51"/>
      <c r="L47" s="44"/>
      <c r="M47" s="44"/>
      <c r="N47" s="44"/>
      <c r="O47" s="12"/>
      <c r="P47" s="49"/>
      <c r="Q47" s="12"/>
      <c r="R47" s="44"/>
      <c r="S47" s="50"/>
      <c r="T47" s="44"/>
      <c r="U47" s="50"/>
      <c r="V47" s="12"/>
      <c r="W47" s="12"/>
      <c r="X47" s="12"/>
      <c r="Y47" s="12"/>
      <c r="Z47" s="12"/>
    </row>
    <row r="48" spans="1:26" ht="15.75" customHeight="1">
      <c r="A48" s="42"/>
      <c r="B48" s="43"/>
      <c r="C48" s="44"/>
      <c r="D48" s="44"/>
      <c r="E48" s="44"/>
      <c r="F48" s="50"/>
      <c r="G48" s="50"/>
      <c r="H48" s="46"/>
      <c r="I48" s="12"/>
      <c r="J48" s="47"/>
      <c r="K48" s="51"/>
      <c r="L48" s="44"/>
      <c r="M48" s="44"/>
      <c r="N48" s="44"/>
      <c r="O48" s="12"/>
      <c r="P48" s="49"/>
      <c r="Q48" s="12"/>
      <c r="R48" s="44"/>
      <c r="S48" s="50"/>
      <c r="T48" s="44"/>
      <c r="U48" s="50"/>
      <c r="V48" s="12"/>
      <c r="W48" s="12"/>
      <c r="X48" s="12"/>
      <c r="Y48" s="12"/>
      <c r="Z48" s="12"/>
    </row>
    <row r="49" spans="1:26" ht="15.75" customHeight="1">
      <c r="A49" s="42"/>
      <c r="B49" s="43"/>
      <c r="C49" s="44"/>
      <c r="D49" s="44"/>
      <c r="E49" s="44"/>
      <c r="F49" s="50"/>
      <c r="G49" s="50"/>
      <c r="H49" s="46"/>
      <c r="I49" s="12"/>
      <c r="J49" s="47"/>
      <c r="K49" s="51"/>
      <c r="L49" s="44"/>
      <c r="M49" s="44"/>
      <c r="N49" s="44"/>
      <c r="O49" s="12"/>
      <c r="P49" s="49"/>
      <c r="Q49" s="12"/>
      <c r="R49" s="44"/>
      <c r="S49" s="50"/>
      <c r="T49" s="44"/>
      <c r="U49" s="50"/>
      <c r="V49" s="12"/>
      <c r="W49" s="12"/>
      <c r="X49" s="12"/>
      <c r="Y49" s="12"/>
      <c r="Z49" s="12"/>
    </row>
    <row r="50" spans="1:26" ht="15.75" customHeight="1">
      <c r="A50" s="42"/>
      <c r="B50" s="43"/>
      <c r="C50" s="44"/>
      <c r="D50" s="44"/>
      <c r="E50" s="44"/>
      <c r="F50" s="50"/>
      <c r="G50" s="50"/>
      <c r="H50" s="46"/>
      <c r="I50" s="12"/>
      <c r="J50" s="47"/>
      <c r="K50" s="51"/>
      <c r="L50" s="44"/>
      <c r="M50" s="44"/>
      <c r="N50" s="44"/>
      <c r="O50" s="12"/>
      <c r="P50" s="49"/>
      <c r="Q50" s="12"/>
      <c r="R50" s="44"/>
      <c r="S50" s="50"/>
      <c r="T50" s="44"/>
      <c r="U50" s="50"/>
      <c r="V50" s="12"/>
      <c r="W50" s="12"/>
      <c r="X50" s="12"/>
      <c r="Y50" s="12"/>
      <c r="Z50" s="12"/>
    </row>
    <row r="51" spans="1:26" ht="15.75" customHeight="1">
      <c r="A51" s="42"/>
      <c r="B51" s="43"/>
      <c r="C51" s="44"/>
      <c r="D51" s="44"/>
      <c r="E51" s="44"/>
      <c r="F51" s="50"/>
      <c r="G51" s="50"/>
      <c r="H51" s="46"/>
      <c r="I51" s="12"/>
      <c r="J51" s="47"/>
      <c r="K51" s="51"/>
      <c r="L51" s="44"/>
      <c r="M51" s="44"/>
      <c r="N51" s="44"/>
      <c r="O51" s="12"/>
      <c r="P51" s="49"/>
      <c r="Q51" s="12"/>
      <c r="R51" s="44"/>
      <c r="S51" s="50"/>
      <c r="T51" s="44"/>
      <c r="U51" s="50"/>
      <c r="V51" s="12"/>
      <c r="W51" s="12"/>
      <c r="X51" s="12"/>
      <c r="Y51" s="12"/>
      <c r="Z51" s="12"/>
    </row>
    <row r="52" spans="1:26" ht="15.75" customHeight="1">
      <c r="A52" s="42"/>
      <c r="B52" s="43"/>
      <c r="C52" s="44"/>
      <c r="D52" s="44"/>
      <c r="E52" s="44"/>
      <c r="F52" s="50"/>
      <c r="G52" s="50"/>
      <c r="H52" s="46"/>
      <c r="I52" s="12"/>
      <c r="J52" s="47"/>
      <c r="K52" s="51"/>
      <c r="L52" s="44"/>
      <c r="M52" s="44"/>
      <c r="N52" s="44"/>
      <c r="O52" s="12"/>
      <c r="P52" s="49"/>
      <c r="Q52" s="12"/>
      <c r="R52" s="44"/>
      <c r="S52" s="50"/>
      <c r="T52" s="44"/>
      <c r="U52" s="50"/>
      <c r="V52" s="12"/>
      <c r="W52" s="12"/>
      <c r="X52" s="12"/>
      <c r="Y52" s="12"/>
      <c r="Z52" s="12"/>
    </row>
    <row r="53" spans="1:26" ht="15.75" customHeight="1">
      <c r="A53" s="42"/>
      <c r="B53" s="43"/>
      <c r="C53" s="44"/>
      <c r="D53" s="44"/>
      <c r="E53" s="44"/>
      <c r="F53" s="50"/>
      <c r="G53" s="50"/>
      <c r="H53" s="46"/>
      <c r="I53" s="12"/>
      <c r="J53" s="47"/>
      <c r="K53" s="51"/>
      <c r="L53" s="44"/>
      <c r="M53" s="44"/>
      <c r="N53" s="44"/>
      <c r="O53" s="12"/>
      <c r="P53" s="49"/>
      <c r="Q53" s="12"/>
      <c r="R53" s="44"/>
      <c r="S53" s="50"/>
      <c r="T53" s="44"/>
      <c r="U53" s="50"/>
      <c r="V53" s="12"/>
      <c r="W53" s="12"/>
      <c r="X53" s="12"/>
      <c r="Y53" s="12"/>
      <c r="Z53" s="12"/>
    </row>
    <row r="54" spans="1:26" ht="15.75" customHeight="1">
      <c r="A54" s="42"/>
      <c r="B54" s="43"/>
      <c r="C54" s="44"/>
      <c r="D54" s="44"/>
      <c r="E54" s="44"/>
      <c r="F54" s="50"/>
      <c r="G54" s="50"/>
      <c r="H54" s="46"/>
      <c r="I54" s="12"/>
      <c r="J54" s="47"/>
      <c r="K54" s="51"/>
      <c r="L54" s="44"/>
      <c r="M54" s="44"/>
      <c r="N54" s="44"/>
      <c r="O54" s="12"/>
      <c r="P54" s="49"/>
      <c r="Q54" s="12"/>
      <c r="R54" s="44"/>
      <c r="S54" s="50"/>
      <c r="T54" s="44"/>
      <c r="U54" s="50"/>
      <c r="V54" s="12"/>
      <c r="W54" s="12"/>
      <c r="X54" s="12"/>
      <c r="Y54" s="12"/>
      <c r="Z54" s="12"/>
    </row>
    <row r="55" spans="1:26" ht="15.75" hidden="1" customHeight="1">
      <c r="A55" s="41" t="str">
        <f>IF(AND(COUNTIF(A34:A54,"validé")=COUNTA(A34:A54),COUNTA(A34:A54)=ROWS(A34:A54)),"OK","À faire")</f>
        <v>À faire</v>
      </c>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c r="A56" s="41"/>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c r="A57" s="578" t="s">
        <v>156</v>
      </c>
      <c r="B57" s="521"/>
      <c r="C57" s="519"/>
      <c r="D57" s="40"/>
      <c r="E57" s="12"/>
      <c r="F57" s="12"/>
      <c r="G57" s="12"/>
      <c r="H57" s="12"/>
      <c r="I57" s="12"/>
      <c r="J57" s="12"/>
      <c r="K57" s="12"/>
      <c r="L57" s="12"/>
      <c r="M57" s="12"/>
      <c r="N57" s="12"/>
      <c r="O57" s="12"/>
      <c r="P57" s="12"/>
      <c r="Q57" s="12"/>
      <c r="R57" s="12"/>
      <c r="S57" s="12"/>
      <c r="T57" s="12"/>
      <c r="U57" s="12"/>
      <c r="V57" s="12"/>
      <c r="W57" s="12"/>
      <c r="X57" s="12"/>
      <c r="Y57" s="12"/>
      <c r="Z57" s="12"/>
    </row>
    <row r="58" spans="1:26" ht="6"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c r="A59" s="42" t="s">
        <v>136</v>
      </c>
      <c r="B59" s="43"/>
      <c r="C59" s="44" t="s">
        <v>157</v>
      </c>
      <c r="D59" s="44" t="s">
        <v>138</v>
      </c>
      <c r="E59" s="44" t="s">
        <v>148</v>
      </c>
      <c r="F59" s="47"/>
      <c r="G59" s="47"/>
      <c r="H59" s="46">
        <v>3</v>
      </c>
      <c r="I59" s="12"/>
      <c r="J59" s="58">
        <v>100</v>
      </c>
      <c r="K59" s="51">
        <v>30</v>
      </c>
      <c r="L59" s="44" t="s">
        <v>140</v>
      </c>
      <c r="M59" s="44" t="s">
        <v>141</v>
      </c>
      <c r="N59" s="44" t="s">
        <v>141</v>
      </c>
      <c r="O59" s="12"/>
      <c r="P59" s="49"/>
      <c r="Q59" s="12"/>
      <c r="R59" s="44"/>
      <c r="S59" s="50"/>
      <c r="T59" s="44"/>
      <c r="U59" s="50"/>
      <c r="V59" s="12"/>
      <c r="W59" s="12"/>
      <c r="X59" s="12"/>
      <c r="Y59" s="12"/>
      <c r="Z59" s="12"/>
    </row>
    <row r="60" spans="1:26" ht="15.75" customHeight="1">
      <c r="A60" s="42"/>
      <c r="B60" s="43"/>
      <c r="C60" s="44"/>
      <c r="D60" s="44"/>
      <c r="E60" s="44"/>
      <c r="F60" s="47"/>
      <c r="G60" s="47"/>
      <c r="H60" s="46"/>
      <c r="I60" s="12"/>
      <c r="J60" s="58"/>
      <c r="K60" s="51"/>
      <c r="L60" s="44"/>
      <c r="M60" s="44"/>
      <c r="N60" s="44"/>
      <c r="O60" s="12"/>
      <c r="P60" s="49"/>
      <c r="Q60" s="12"/>
      <c r="R60" s="44"/>
      <c r="S60" s="50"/>
      <c r="T60" s="44"/>
      <c r="U60" s="50"/>
      <c r="V60" s="12"/>
      <c r="W60" s="12"/>
      <c r="X60" s="12"/>
      <c r="Y60" s="12"/>
      <c r="Z60" s="12"/>
    </row>
    <row r="61" spans="1:26" ht="15.75" customHeight="1">
      <c r="A61" s="42"/>
      <c r="B61" s="43"/>
      <c r="C61" s="44"/>
      <c r="D61" s="44"/>
      <c r="E61" s="44"/>
      <c r="F61" s="47"/>
      <c r="G61" s="47"/>
      <c r="H61" s="46"/>
      <c r="I61" s="12"/>
      <c r="J61" s="58"/>
      <c r="K61" s="51"/>
      <c r="L61" s="44"/>
      <c r="M61" s="44"/>
      <c r="N61" s="44"/>
      <c r="O61" s="12"/>
      <c r="P61" s="49"/>
      <c r="Q61" s="12"/>
      <c r="R61" s="44"/>
      <c r="S61" s="50"/>
      <c r="T61" s="44"/>
      <c r="U61" s="50"/>
      <c r="V61" s="12"/>
      <c r="W61" s="12"/>
      <c r="X61" s="12"/>
      <c r="Y61" s="12"/>
      <c r="Z61" s="12"/>
    </row>
    <row r="62" spans="1:26" ht="15.75" customHeight="1">
      <c r="A62" s="42"/>
      <c r="B62" s="43"/>
      <c r="C62" s="44"/>
      <c r="D62" s="44"/>
      <c r="E62" s="44"/>
      <c r="F62" s="47"/>
      <c r="G62" s="47"/>
      <c r="H62" s="46"/>
      <c r="I62" s="12"/>
      <c r="J62" s="58"/>
      <c r="K62" s="51"/>
      <c r="L62" s="44"/>
      <c r="M62" s="44"/>
      <c r="N62" s="44"/>
      <c r="O62" s="12"/>
      <c r="P62" s="49"/>
      <c r="Q62" s="12"/>
      <c r="R62" s="44"/>
      <c r="S62" s="50"/>
      <c r="T62" s="44"/>
      <c r="U62" s="50"/>
      <c r="V62" s="12"/>
      <c r="W62" s="12"/>
      <c r="X62" s="12"/>
      <c r="Y62" s="12"/>
      <c r="Z62" s="12"/>
    </row>
    <row r="63" spans="1:26" ht="15.75" customHeight="1">
      <c r="A63" s="42"/>
      <c r="B63" s="43"/>
      <c r="C63" s="44"/>
      <c r="D63" s="44"/>
      <c r="E63" s="44"/>
      <c r="F63" s="47"/>
      <c r="G63" s="47"/>
      <c r="H63" s="46"/>
      <c r="I63" s="12"/>
      <c r="J63" s="58"/>
      <c r="K63" s="51"/>
      <c r="L63" s="44"/>
      <c r="M63" s="44"/>
      <c r="N63" s="44"/>
      <c r="O63" s="12"/>
      <c r="P63" s="49"/>
      <c r="Q63" s="12"/>
      <c r="R63" s="44"/>
      <c r="S63" s="50"/>
      <c r="T63" s="44"/>
      <c r="U63" s="50"/>
      <c r="V63" s="12"/>
      <c r="W63" s="12"/>
      <c r="X63" s="12"/>
      <c r="Y63" s="12"/>
      <c r="Z63" s="12"/>
    </row>
    <row r="64" spans="1:26" ht="15.75" customHeight="1">
      <c r="A64" s="42"/>
      <c r="B64" s="43"/>
      <c r="C64" s="44"/>
      <c r="D64" s="44"/>
      <c r="E64" s="44"/>
      <c r="F64" s="47"/>
      <c r="G64" s="47"/>
      <c r="H64" s="46"/>
      <c r="I64" s="12"/>
      <c r="J64" s="58"/>
      <c r="K64" s="51"/>
      <c r="L64" s="44"/>
      <c r="M64" s="44"/>
      <c r="N64" s="44"/>
      <c r="O64" s="12"/>
      <c r="P64" s="49"/>
      <c r="Q64" s="12"/>
      <c r="R64" s="44"/>
      <c r="S64" s="50"/>
      <c r="T64" s="44"/>
      <c r="U64" s="50"/>
      <c r="V64" s="12"/>
      <c r="W64" s="12"/>
      <c r="X64" s="12"/>
      <c r="Y64" s="12"/>
      <c r="Z64" s="12"/>
    </row>
    <row r="65" spans="1:26" ht="15.75" hidden="1" customHeight="1">
      <c r="A65" s="12" t="str">
        <f>IF(AND(COUNTIF(A59:A64,"validé")=COUNTA(A59:A64),COUNTA(A59:A64)=ROWS(A59:A64)),"OK","À faire")</f>
        <v>À faire</v>
      </c>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c r="A67" s="59" t="s">
        <v>163</v>
      </c>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spans="1:26" ht="15.75" customHeight="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spans="1:26" ht="15.75" customHeight="1">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row r="1003" spans="1:26" ht="15.75" customHeight="1">
      <c r="A1003" s="12"/>
      <c r="B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row>
    <row r="1004" spans="1:26" ht="15.75" customHeight="1">
      <c r="A1004" s="12"/>
      <c r="B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row>
    <row r="1005" spans="1:26" ht="15.75" customHeight="1">
      <c r="A1005" s="12"/>
      <c r="B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row>
    <row r="1006" spans="1:26" ht="15.75" customHeight="1">
      <c r="A1006" s="12"/>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row>
    <row r="1007" spans="1:26" ht="15.75" customHeight="1">
      <c r="A1007" s="12"/>
      <c r="B1007" s="12"/>
      <c r="C1007" s="12"/>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row>
    <row r="1008" spans="1:26" ht="15.75" customHeight="1">
      <c r="A1008" s="12"/>
      <c r="B1008" s="12"/>
      <c r="C1008" s="12"/>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row>
    <row r="1009" spans="1:26" ht="15.75" customHeight="1">
      <c r="A1009" s="12"/>
      <c r="B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row>
    <row r="1010" spans="1:26" ht="15.75" customHeight="1">
      <c r="A1010" s="12"/>
      <c r="B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row>
    <row r="1011" spans="1:26" ht="15.75" customHeight="1">
      <c r="A1011" s="12"/>
      <c r="B1011" s="12"/>
      <c r="C1011" s="12"/>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row>
    <row r="1012" spans="1:26" ht="15.75" customHeight="1">
      <c r="A1012" s="12"/>
      <c r="B1012" s="12"/>
      <c r="C1012" s="12"/>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row>
    <row r="1013" spans="1:26" ht="15.75" customHeight="1">
      <c r="A1013" s="12"/>
      <c r="B1013" s="12"/>
      <c r="C1013" s="12"/>
      <c r="D1013" s="12"/>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row>
    <row r="1014" spans="1:26" ht="15.75" customHeight="1">
      <c r="A1014" s="12"/>
      <c r="B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row>
    <row r="1015" spans="1:26" ht="15.75" customHeight="1">
      <c r="A1015" s="12"/>
      <c r="B1015" s="12"/>
      <c r="C1015" s="12"/>
      <c r="D1015" s="12"/>
      <c r="E1015" s="12"/>
      <c r="F1015" s="12"/>
      <c r="G1015" s="12"/>
      <c r="H1015" s="12"/>
      <c r="I1015" s="12"/>
      <c r="J1015" s="12"/>
      <c r="K1015" s="12"/>
      <c r="L1015" s="12"/>
      <c r="M1015" s="12"/>
      <c r="N1015" s="12"/>
      <c r="O1015" s="12"/>
      <c r="P1015" s="12"/>
      <c r="Q1015" s="12"/>
      <c r="R1015" s="12"/>
      <c r="S1015" s="12"/>
      <c r="T1015" s="12"/>
      <c r="U1015" s="12"/>
      <c r="V1015" s="12"/>
      <c r="W1015" s="12"/>
      <c r="X1015" s="12"/>
      <c r="Y1015" s="12"/>
      <c r="Z1015" s="12"/>
    </row>
    <row r="1016" spans="1:26" ht="15.75" customHeight="1">
      <c r="A1016" s="12"/>
      <c r="B1016" s="12"/>
      <c r="C1016" s="12"/>
      <c r="D1016" s="12"/>
      <c r="E1016" s="12"/>
      <c r="F1016" s="12"/>
      <c r="G1016" s="12"/>
      <c r="H1016" s="12"/>
      <c r="I1016" s="12"/>
      <c r="J1016" s="12"/>
      <c r="K1016" s="12"/>
      <c r="L1016" s="12"/>
      <c r="M1016" s="12"/>
      <c r="N1016" s="12"/>
      <c r="O1016" s="12"/>
      <c r="P1016" s="12"/>
      <c r="Q1016" s="12"/>
      <c r="R1016" s="12"/>
      <c r="S1016" s="12"/>
      <c r="T1016" s="12"/>
      <c r="U1016" s="12"/>
      <c r="V1016" s="12"/>
      <c r="W1016" s="12"/>
      <c r="X1016" s="12"/>
      <c r="Y1016" s="12"/>
      <c r="Z1016" s="12"/>
    </row>
    <row r="1017" spans="1:26" ht="15.75" customHeight="1">
      <c r="A1017" s="12"/>
      <c r="B1017" s="12"/>
      <c r="C1017" s="12"/>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row>
    <row r="1018" spans="1:26" ht="15.75" customHeight="1">
      <c r="A1018" s="12"/>
      <c r="B1018" s="12"/>
      <c r="C1018" s="12"/>
      <c r="D1018" s="12"/>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row>
    <row r="1019" spans="1:26" ht="15.75" customHeight="1">
      <c r="A1019" s="12"/>
      <c r="B1019" s="12"/>
      <c r="C1019" s="12"/>
      <c r="D1019" s="12"/>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row>
    <row r="1020" spans="1:26" ht="15.75" customHeight="1">
      <c r="A1020" s="12"/>
      <c r="B1020" s="12"/>
      <c r="C1020" s="12"/>
      <c r="D1020" s="12"/>
      <c r="E1020" s="12"/>
      <c r="F1020" s="12"/>
      <c r="G1020" s="12"/>
      <c r="H1020" s="12"/>
      <c r="I1020" s="12"/>
      <c r="J1020" s="12"/>
      <c r="K1020" s="12"/>
      <c r="L1020" s="12"/>
      <c r="M1020" s="12"/>
      <c r="N1020" s="12"/>
      <c r="O1020" s="12"/>
      <c r="P1020" s="12"/>
      <c r="Q1020" s="12"/>
      <c r="R1020" s="12"/>
      <c r="S1020" s="12"/>
      <c r="T1020" s="12"/>
      <c r="U1020" s="12"/>
      <c r="V1020" s="12"/>
      <c r="W1020" s="12"/>
      <c r="X1020" s="12"/>
      <c r="Y1020" s="12"/>
      <c r="Z1020" s="12"/>
    </row>
    <row r="1021" spans="1:26" ht="15.75" customHeight="1">
      <c r="A1021" s="12"/>
      <c r="B1021" s="12"/>
      <c r="C1021" s="12"/>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row>
    <row r="1022" spans="1:26" ht="15.75" customHeight="1">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row>
    <row r="1023" spans="1:26" ht="15.75" customHeight="1">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row>
    <row r="1024" spans="1:26" ht="15.75" customHeight="1">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row>
    <row r="1025" spans="1:26" ht="15.75" customHeight="1">
      <c r="A1025" s="12"/>
      <c r="B1025" s="12"/>
      <c r="C1025" s="12"/>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row>
  </sheetData>
  <mergeCells count="18">
    <mergeCell ref="A57:C57"/>
    <mergeCell ref="A2:E2"/>
    <mergeCell ref="A9:A10"/>
    <mergeCell ref="B9:B10"/>
    <mergeCell ref="C9:C10"/>
    <mergeCell ref="D9:D10"/>
    <mergeCell ref="E9:E10"/>
    <mergeCell ref="R9:R10"/>
    <mergeCell ref="S9:T9"/>
    <mergeCell ref="U9:U10"/>
    <mergeCell ref="A12:C12"/>
    <mergeCell ref="A32:C32"/>
    <mergeCell ref="F9:F10"/>
    <mergeCell ref="G9:G10"/>
    <mergeCell ref="H9:H10"/>
    <mergeCell ref="J9:K9"/>
    <mergeCell ref="L9:N9"/>
    <mergeCell ref="P9:P10"/>
  </mergeCell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r:uid="{00000000-0002-0000-0300-000000000000}">
          <x14:formula1>
            <xm:f>Données!$D$16:$D$18</xm:f>
          </x14:formula1>
          <xm:sqref>R30:R33 T30:T33 R55:R58 T55:T58</xm:sqref>
        </x14:dataValidation>
        <x14:dataValidation type="list" allowBlank="1" showErrorMessage="1" xr:uid="{00000000-0002-0000-0300-000001000000}">
          <x14:formula1>
            <xm:f>Données!$F$34:$F$36</xm:f>
          </x14:formula1>
          <xm:sqref>T14:T29 T34:T54 T59:T64</xm:sqref>
        </x14:dataValidation>
        <x14:dataValidation type="list" allowBlank="1" showErrorMessage="1" xr:uid="{00000000-0002-0000-0300-000002000000}">
          <x14:formula1>
            <xm:f>Données!$B$5:$B$218</xm:f>
          </x14:formula1>
          <xm:sqref>D14:D29 D34:D54 D59:D64</xm:sqref>
        </x14:dataValidation>
        <x14:dataValidation type="list" allowBlank="1" showErrorMessage="1" xr:uid="{00000000-0002-0000-0300-000003000000}">
          <x14:formula1>
            <xm:f>Données!$F$5:$F$7</xm:f>
          </x14:formula1>
          <xm:sqref>L14:L64</xm:sqref>
        </x14:dataValidation>
        <x14:dataValidation type="list" allowBlank="1" showErrorMessage="1" xr:uid="{00000000-0002-0000-0300-000004000000}">
          <x14:formula1>
            <xm:f>Données!$B$5:$B$7</xm:f>
          </x14:formula1>
          <xm:sqref>E30:E33 E55:E58</xm:sqref>
        </x14:dataValidation>
        <x14:dataValidation type="list" allowBlank="1" showErrorMessage="1" xr:uid="{00000000-0002-0000-0300-000005000000}">
          <x14:formula1>
            <xm:f>Données!$D$37:$D$39</xm:f>
          </x14:formula1>
          <xm:sqref>A14:A29 A59:A64 A34:A54</xm:sqref>
        </x14:dataValidation>
        <x14:dataValidation type="list" allowBlank="1" showErrorMessage="1" xr:uid="{00000000-0002-0000-0300-000006000000}">
          <x14:formula1>
            <xm:f>Données!$D$18:$D$20</xm:f>
          </x14:formula1>
          <xm:sqref>R14:R29 R34:R54 R59:R64</xm:sqref>
        </x14:dataValidation>
        <x14:dataValidation type="list" allowBlank="1" showErrorMessage="1" xr:uid="{00000000-0002-0000-0300-000007000000}">
          <x14:formula1>
            <xm:f>Données!$D$5:$D$13</xm:f>
          </x14:formula1>
          <xm:sqref>C14:C29 C34:C54 C59:C64</xm:sqref>
        </x14:dataValidation>
        <x14:dataValidation type="list" allowBlank="1" showErrorMessage="1" xr:uid="{00000000-0002-0000-0300-000008000000}">
          <x14:formula1>
            <xm:f>Données!$D$43:$D$44</xm:f>
          </x14:formula1>
          <xm:sqref>M14:N29 M34:N54 M59:N64</xm:sqref>
        </x14:dataValidation>
        <x14:dataValidation type="list" allowBlank="1" showErrorMessage="1" xr:uid="{00000000-0002-0000-0300-000009000000}">
          <x14:formula1>
            <xm:f>Données!$D$38:$D$39</xm:f>
          </x14:formula1>
          <xm:sqref>M30:N33 M55:N58</xm:sqref>
        </x14:dataValidation>
        <x14:dataValidation type="list" allowBlank="1" showErrorMessage="1" xr:uid="{00000000-0002-0000-0300-00000A000000}">
          <x14:formula1>
            <xm:f>Données!$D$49:$D$51</xm:f>
          </x14:formula1>
          <xm:sqref>E14:E29 E34:E54 E59:E64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EF2CB"/>
  </sheetPr>
  <dimension ref="A1:Z998"/>
  <sheetViews>
    <sheetView zoomScale="89" workbookViewId="0">
      <pane xSplit="6" ySplit="13" topLeftCell="G83" activePane="bottomRight" state="frozen"/>
      <selection pane="topRight" activeCell="G1" sqref="G1"/>
      <selection pane="bottomLeft" activeCell="A14" sqref="A14"/>
      <selection pane="bottomRight" activeCell="J91" sqref="J91"/>
    </sheetView>
  </sheetViews>
  <sheetFormatPr baseColWidth="10" defaultColWidth="11.125" defaultRowHeight="15" customHeight="1"/>
  <cols>
    <col min="1" max="1" width="9.5" customWidth="1"/>
    <col min="2" max="10" width="18.5" customWidth="1"/>
    <col min="11" max="11" width="5.875" customWidth="1"/>
    <col min="12" max="12" width="17.5" customWidth="1"/>
    <col min="13" max="26" width="8.625" customWidth="1"/>
  </cols>
  <sheetData>
    <row r="1" spans="1:26" ht="15.75" customHeight="1">
      <c r="A1" s="6"/>
      <c r="B1" s="6"/>
      <c r="C1" s="6"/>
      <c r="D1" s="6"/>
      <c r="E1" s="6"/>
      <c r="F1" s="6"/>
      <c r="G1" s="6"/>
      <c r="H1" s="6"/>
      <c r="I1" s="6"/>
      <c r="J1" s="6"/>
      <c r="K1" s="6"/>
      <c r="L1" s="6"/>
      <c r="M1" s="6"/>
      <c r="N1" s="6"/>
      <c r="O1" s="6"/>
      <c r="P1" s="6"/>
      <c r="Q1" s="6"/>
      <c r="R1" s="6"/>
      <c r="S1" s="6"/>
      <c r="T1" s="6"/>
      <c r="U1" s="6"/>
      <c r="V1" s="6"/>
      <c r="W1" s="6"/>
      <c r="X1" s="6"/>
      <c r="Y1" s="6"/>
      <c r="Z1" s="6"/>
    </row>
    <row r="2" spans="1:26" ht="15.75" customHeight="1">
      <c r="A2" s="584" t="s">
        <v>788</v>
      </c>
      <c r="B2" s="516"/>
      <c r="C2" s="516"/>
      <c r="D2" s="516"/>
      <c r="E2" s="516"/>
      <c r="F2" s="517"/>
      <c r="G2" s="6"/>
      <c r="H2" s="6"/>
      <c r="I2" s="6"/>
      <c r="J2" s="6"/>
      <c r="K2" s="6"/>
      <c r="L2" s="6"/>
      <c r="M2" s="6"/>
      <c r="N2" s="6"/>
      <c r="O2" s="6"/>
      <c r="P2" s="6"/>
      <c r="Q2" s="6"/>
      <c r="R2" s="6"/>
      <c r="S2" s="6"/>
      <c r="T2" s="6"/>
      <c r="U2" s="6"/>
      <c r="V2" s="6"/>
      <c r="W2" s="6"/>
      <c r="X2" s="6"/>
      <c r="Y2" s="6"/>
      <c r="Z2" s="6"/>
    </row>
    <row r="3" spans="1:26" ht="4.5" customHeight="1">
      <c r="A3" s="6"/>
      <c r="B3" s="1"/>
      <c r="C3" s="1"/>
      <c r="D3" s="1"/>
      <c r="E3" s="1"/>
      <c r="F3" s="1"/>
      <c r="G3" s="6"/>
      <c r="H3" s="6"/>
      <c r="I3" s="6"/>
      <c r="J3" s="6"/>
      <c r="K3" s="6"/>
      <c r="L3" s="6"/>
      <c r="M3" s="6"/>
      <c r="N3" s="6"/>
      <c r="O3" s="6"/>
      <c r="P3" s="6"/>
      <c r="Q3" s="6"/>
      <c r="R3" s="6"/>
      <c r="S3" s="6"/>
      <c r="T3" s="6"/>
      <c r="U3" s="6"/>
      <c r="V3" s="6"/>
      <c r="W3" s="6"/>
      <c r="X3" s="6"/>
      <c r="Y3" s="6"/>
      <c r="Z3" s="6"/>
    </row>
    <row r="4" spans="1:26" ht="15.75" customHeight="1">
      <c r="A4" s="585" t="s">
        <v>53</v>
      </c>
      <c r="B4" s="516"/>
      <c r="C4" s="516"/>
      <c r="D4" s="516"/>
      <c r="E4" s="516"/>
      <c r="F4" s="517"/>
      <c r="G4" s="6"/>
      <c r="H4" s="6"/>
      <c r="I4" s="6"/>
      <c r="J4" s="6"/>
      <c r="K4" s="6"/>
      <c r="L4" s="6"/>
      <c r="M4" s="6"/>
      <c r="N4" s="6"/>
      <c r="O4" s="6"/>
      <c r="P4" s="6"/>
      <c r="Q4" s="6"/>
      <c r="R4" s="6"/>
      <c r="S4" s="6"/>
      <c r="T4" s="6"/>
      <c r="U4" s="6"/>
      <c r="V4" s="6"/>
      <c r="W4" s="6"/>
      <c r="X4" s="6"/>
      <c r="Y4" s="6"/>
      <c r="Z4" s="6"/>
    </row>
    <row r="5" spans="1:26" ht="15.75" customHeight="1">
      <c r="A5" s="6"/>
      <c r="B5" s="6"/>
      <c r="C5" s="6"/>
      <c r="D5" s="6"/>
      <c r="E5" s="6"/>
      <c r="F5" s="6"/>
      <c r="G5" s="6"/>
      <c r="H5" s="6"/>
      <c r="I5" s="6"/>
      <c r="J5" s="6"/>
      <c r="K5" s="6"/>
      <c r="L5" s="6"/>
      <c r="M5" s="6"/>
      <c r="N5" s="6"/>
      <c r="O5" s="6"/>
      <c r="P5" s="6"/>
      <c r="Q5" s="6"/>
      <c r="R5" s="6"/>
      <c r="S5" s="6"/>
      <c r="T5" s="6"/>
      <c r="U5" s="6"/>
      <c r="V5" s="6"/>
      <c r="W5" s="6"/>
      <c r="X5" s="6"/>
      <c r="Y5" s="6"/>
      <c r="Z5" s="6"/>
    </row>
    <row r="6" spans="1:26" ht="15.75" customHeight="1">
      <c r="A6" s="60"/>
      <c r="B6" s="6"/>
      <c r="C6" s="586" t="s">
        <v>164</v>
      </c>
      <c r="D6" s="587"/>
      <c r="E6" s="588"/>
      <c r="F6" s="6"/>
      <c r="G6" s="6"/>
      <c r="H6" s="6"/>
      <c r="I6" s="60"/>
      <c r="J6" s="60"/>
      <c r="K6" s="60"/>
      <c r="L6" s="60"/>
      <c r="M6" s="6"/>
      <c r="N6" s="6"/>
      <c r="O6" s="6"/>
      <c r="P6" s="6"/>
      <c r="Q6" s="6"/>
      <c r="R6" s="6"/>
      <c r="S6" s="6"/>
      <c r="T6" s="6"/>
      <c r="U6" s="6"/>
      <c r="V6" s="6"/>
      <c r="W6" s="6"/>
      <c r="X6" s="6"/>
      <c r="Y6" s="6"/>
      <c r="Z6" s="6"/>
    </row>
    <row r="7" spans="1:26" ht="15.75" customHeight="1">
      <c r="A7" s="6"/>
      <c r="B7" s="6"/>
      <c r="C7" s="589" t="s">
        <v>165</v>
      </c>
      <c r="D7" s="590"/>
      <c r="E7" s="591"/>
      <c r="F7" s="6"/>
      <c r="G7" s="6"/>
      <c r="H7" s="6"/>
      <c r="I7" s="6"/>
      <c r="J7" s="6"/>
      <c r="K7" s="6"/>
      <c r="L7" s="6"/>
      <c r="M7" s="6"/>
      <c r="N7" s="6"/>
      <c r="O7" s="6"/>
      <c r="P7" s="6"/>
      <c r="Q7" s="6"/>
      <c r="R7" s="6"/>
      <c r="S7" s="6"/>
      <c r="T7" s="6"/>
      <c r="U7" s="6"/>
      <c r="V7" s="6"/>
      <c r="W7" s="6"/>
      <c r="X7" s="6"/>
      <c r="Y7" s="6"/>
      <c r="Z7" s="6"/>
    </row>
    <row r="8" spans="1:26" ht="15.75" customHeight="1">
      <c r="A8" s="6"/>
      <c r="B8" s="6"/>
      <c r="C8" s="6"/>
      <c r="D8" s="6"/>
      <c r="E8" s="6"/>
      <c r="F8" s="6"/>
      <c r="G8" s="6"/>
      <c r="H8" s="6"/>
      <c r="I8" s="6"/>
      <c r="J8" s="6"/>
      <c r="K8" s="6"/>
      <c r="L8" s="6"/>
      <c r="M8" s="6"/>
      <c r="N8" s="6"/>
      <c r="O8" s="6"/>
      <c r="P8" s="6"/>
      <c r="Q8" s="6"/>
      <c r="R8" s="6"/>
      <c r="S8" s="6"/>
      <c r="T8" s="6"/>
      <c r="U8" s="6"/>
      <c r="V8" s="6"/>
      <c r="W8" s="6"/>
      <c r="X8" s="6"/>
      <c r="Y8" s="6"/>
      <c r="Z8" s="6"/>
    </row>
    <row r="9" spans="1:26" ht="15.75" customHeight="1">
      <c r="A9" s="12"/>
      <c r="B9" s="33" t="s">
        <v>111</v>
      </c>
      <c r="C9" s="12"/>
      <c r="D9" s="12"/>
      <c r="E9" s="12"/>
      <c r="F9" s="12"/>
      <c r="G9" s="12"/>
      <c r="H9" s="12"/>
      <c r="I9" s="12"/>
      <c r="J9" s="12"/>
      <c r="K9" s="12"/>
      <c r="L9" s="12"/>
      <c r="M9" s="12"/>
      <c r="N9" s="12"/>
      <c r="O9" s="12"/>
      <c r="P9" s="12"/>
      <c r="Q9" s="12"/>
      <c r="R9" s="12"/>
      <c r="S9" s="12"/>
      <c r="T9" s="12"/>
      <c r="U9" s="12"/>
      <c r="V9" s="12"/>
      <c r="W9" s="12"/>
      <c r="X9" s="12"/>
      <c r="Y9" s="12"/>
      <c r="Z9" s="12"/>
    </row>
    <row r="10" spans="1:26" ht="15.75" customHeight="1">
      <c r="A10" s="12"/>
      <c r="B10" s="34" t="s">
        <v>112</v>
      </c>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15.75" customHeight="1">
      <c r="A11" s="12"/>
      <c r="B11" s="3" t="s">
        <v>789</v>
      </c>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ht="15.75" customHeight="1">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60" customHeight="1">
      <c r="A13" s="61" t="s">
        <v>114</v>
      </c>
      <c r="B13" s="62" t="s">
        <v>167</v>
      </c>
      <c r="C13" s="63" t="s">
        <v>168</v>
      </c>
      <c r="D13" s="63" t="s">
        <v>169</v>
      </c>
      <c r="E13" s="63" t="s">
        <v>170</v>
      </c>
      <c r="F13" s="63" t="s">
        <v>171</v>
      </c>
      <c r="G13" s="63" t="s">
        <v>172</v>
      </c>
      <c r="H13" s="62" t="s">
        <v>173</v>
      </c>
      <c r="I13" s="62" t="s">
        <v>174</v>
      </c>
      <c r="J13" s="62" t="s">
        <v>175</v>
      </c>
      <c r="K13" s="6"/>
      <c r="L13" s="6"/>
      <c r="M13" s="6"/>
      <c r="N13" s="6"/>
      <c r="O13" s="6"/>
      <c r="P13" s="6"/>
      <c r="Q13" s="6"/>
      <c r="R13" s="6"/>
      <c r="S13" s="6"/>
      <c r="T13" s="6"/>
      <c r="U13" s="6"/>
      <c r="V13" s="6"/>
      <c r="W13" s="6"/>
      <c r="X13" s="6"/>
      <c r="Y13" s="6"/>
      <c r="Z13" s="6"/>
    </row>
    <row r="14" spans="1:26" ht="4.5" customHeight="1">
      <c r="A14" s="6"/>
      <c r="B14" s="11"/>
      <c r="C14" s="6"/>
      <c r="D14" s="6"/>
      <c r="E14" s="6"/>
      <c r="F14" s="6"/>
      <c r="G14" s="6"/>
      <c r="H14" s="6"/>
      <c r="I14" s="6"/>
      <c r="J14" s="6"/>
      <c r="K14" s="6"/>
      <c r="L14" s="6"/>
      <c r="M14" s="6"/>
      <c r="N14" s="6"/>
      <c r="O14" s="6"/>
      <c r="P14" s="6"/>
      <c r="Q14" s="6"/>
      <c r="R14" s="6"/>
      <c r="S14" s="6"/>
      <c r="T14" s="6"/>
      <c r="U14" s="6"/>
      <c r="V14" s="6"/>
      <c r="W14" s="6"/>
      <c r="X14" s="6"/>
      <c r="Y14" s="6"/>
      <c r="Z14" s="6"/>
    </row>
    <row r="15" spans="1:26" ht="17.25" customHeight="1">
      <c r="A15" s="6"/>
      <c r="B15" s="592" t="s">
        <v>176</v>
      </c>
      <c r="C15" s="521"/>
      <c r="D15" s="521"/>
      <c r="E15" s="521"/>
      <c r="F15" s="519"/>
      <c r="G15" s="6"/>
      <c r="H15" s="6"/>
      <c r="I15" s="6"/>
      <c r="J15" s="6"/>
      <c r="K15" s="6"/>
      <c r="L15" s="6"/>
      <c r="M15" s="6"/>
      <c r="N15" s="6"/>
      <c r="O15" s="6"/>
      <c r="P15" s="6"/>
      <c r="Q15" s="6"/>
      <c r="R15" s="6"/>
      <c r="S15" s="6"/>
      <c r="T15" s="6"/>
      <c r="U15" s="6"/>
      <c r="V15" s="6"/>
      <c r="W15" s="6"/>
      <c r="X15" s="6"/>
      <c r="Y15" s="6"/>
      <c r="Z15" s="6"/>
    </row>
    <row r="16" spans="1:26" ht="4.5" customHeight="1">
      <c r="A16" s="6"/>
      <c r="B16" s="11"/>
      <c r="C16" s="6"/>
      <c r="D16" s="6"/>
      <c r="E16" s="6"/>
      <c r="F16" s="6"/>
      <c r="G16" s="6"/>
      <c r="H16" s="6"/>
      <c r="I16" s="6"/>
      <c r="J16" s="6"/>
      <c r="K16" s="6"/>
      <c r="L16" s="6"/>
      <c r="M16" s="6"/>
      <c r="N16" s="6"/>
      <c r="O16" s="6"/>
      <c r="P16" s="6"/>
      <c r="Q16" s="6"/>
      <c r="R16" s="6"/>
      <c r="S16" s="6"/>
      <c r="T16" s="6"/>
      <c r="U16" s="6"/>
      <c r="V16" s="6"/>
      <c r="W16" s="6"/>
      <c r="X16" s="6"/>
      <c r="Y16" s="6"/>
      <c r="Z16" s="6"/>
    </row>
    <row r="17" spans="1:26" ht="15.75" customHeight="1">
      <c r="A17" s="64" t="s">
        <v>136</v>
      </c>
      <c r="B17" s="52"/>
      <c r="C17" s="65"/>
      <c r="D17" s="65"/>
      <c r="E17" s="65"/>
      <c r="F17" s="65"/>
      <c r="G17" s="44" t="s">
        <v>177</v>
      </c>
      <c r="H17" s="66"/>
      <c r="I17" s="67"/>
      <c r="J17" s="68">
        <v>2500</v>
      </c>
      <c r="K17" s="6"/>
      <c r="L17" s="6"/>
      <c r="M17" s="6"/>
      <c r="N17" s="6"/>
      <c r="O17" s="6"/>
      <c r="P17" s="6"/>
      <c r="Q17" s="6"/>
      <c r="R17" s="6"/>
      <c r="S17" s="6"/>
      <c r="T17" s="6"/>
      <c r="U17" s="6"/>
      <c r="V17" s="6"/>
      <c r="W17" s="6"/>
      <c r="X17" s="6"/>
      <c r="Y17" s="6"/>
      <c r="Z17" s="6"/>
    </row>
    <row r="18" spans="1:26" ht="15.75" customHeight="1">
      <c r="A18" s="64"/>
      <c r="B18" s="53"/>
      <c r="C18" s="69"/>
      <c r="D18" s="69"/>
      <c r="E18" s="69"/>
      <c r="F18" s="69"/>
      <c r="G18" s="44"/>
      <c r="H18" s="70"/>
      <c r="I18" s="71"/>
      <c r="J18" s="68"/>
      <c r="K18" s="6"/>
      <c r="L18" s="6"/>
      <c r="M18" s="6"/>
      <c r="N18" s="6"/>
      <c r="O18" s="6"/>
      <c r="P18" s="6"/>
      <c r="Q18" s="6"/>
      <c r="R18" s="6"/>
      <c r="S18" s="6"/>
      <c r="T18" s="6"/>
      <c r="U18" s="6"/>
      <c r="V18" s="6"/>
      <c r="W18" s="6"/>
      <c r="X18" s="6"/>
      <c r="Y18" s="6"/>
      <c r="Z18" s="6"/>
    </row>
    <row r="19" spans="1:26" ht="15.75" customHeight="1">
      <c r="A19" s="64"/>
      <c r="B19" s="53"/>
      <c r="C19" s="69"/>
      <c r="D19" s="69"/>
      <c r="E19" s="69"/>
      <c r="F19" s="69"/>
      <c r="G19" s="44"/>
      <c r="H19" s="70"/>
      <c r="I19" s="71"/>
      <c r="J19" s="68"/>
      <c r="K19" s="6"/>
      <c r="L19" s="6"/>
      <c r="M19" s="6"/>
      <c r="N19" s="6"/>
      <c r="O19" s="6"/>
      <c r="P19" s="6"/>
      <c r="Q19" s="6"/>
      <c r="R19" s="6"/>
      <c r="S19" s="6"/>
      <c r="T19" s="6"/>
      <c r="U19" s="6"/>
      <c r="V19" s="6"/>
      <c r="W19" s="6"/>
      <c r="X19" s="6"/>
      <c r="Y19" s="6"/>
      <c r="Z19" s="6"/>
    </row>
    <row r="20" spans="1:26" ht="15.75" customHeight="1">
      <c r="A20" s="64"/>
      <c r="B20" s="53"/>
      <c r="C20" s="69"/>
      <c r="D20" s="69"/>
      <c r="E20" s="69"/>
      <c r="F20" s="69"/>
      <c r="G20" s="44"/>
      <c r="H20" s="70"/>
      <c r="I20" s="71"/>
      <c r="J20" s="68"/>
      <c r="K20" s="6"/>
      <c r="L20" s="6"/>
      <c r="M20" s="6"/>
      <c r="N20" s="6"/>
      <c r="O20" s="6"/>
      <c r="P20" s="6"/>
      <c r="Q20" s="6"/>
      <c r="R20" s="6"/>
      <c r="S20" s="6"/>
      <c r="T20" s="6"/>
      <c r="U20" s="6"/>
      <c r="V20" s="6"/>
      <c r="W20" s="6"/>
      <c r="X20" s="6"/>
      <c r="Y20" s="6"/>
      <c r="Z20" s="6"/>
    </row>
    <row r="21" spans="1:26" ht="15.75" customHeight="1">
      <c r="A21" s="64"/>
      <c r="B21" s="53"/>
      <c r="C21" s="69"/>
      <c r="D21" s="69"/>
      <c r="E21" s="69"/>
      <c r="F21" s="69"/>
      <c r="G21" s="44"/>
      <c r="H21" s="70"/>
      <c r="I21" s="71"/>
      <c r="J21" s="68"/>
      <c r="K21" s="6"/>
      <c r="L21" s="6"/>
      <c r="M21" s="6"/>
      <c r="N21" s="6"/>
      <c r="O21" s="6"/>
      <c r="P21" s="6"/>
      <c r="Q21" s="6"/>
      <c r="R21" s="6"/>
      <c r="S21" s="6"/>
      <c r="T21" s="6"/>
      <c r="U21" s="6"/>
      <c r="V21" s="6"/>
      <c r="W21" s="6"/>
      <c r="X21" s="6"/>
      <c r="Y21" s="6"/>
      <c r="Z21" s="6"/>
    </row>
    <row r="22" spans="1:26" ht="15.75" customHeight="1">
      <c r="A22" s="64"/>
      <c r="B22" s="53"/>
      <c r="C22" s="69"/>
      <c r="D22" s="69"/>
      <c r="E22" s="69"/>
      <c r="F22" s="69"/>
      <c r="G22" s="44"/>
      <c r="H22" s="70"/>
      <c r="I22" s="71"/>
      <c r="J22" s="68"/>
      <c r="K22" s="6"/>
      <c r="L22" s="6"/>
      <c r="M22" s="6"/>
      <c r="N22" s="6"/>
      <c r="O22" s="6"/>
      <c r="P22" s="6"/>
      <c r="Q22" s="6"/>
      <c r="R22" s="6"/>
      <c r="S22" s="6"/>
      <c r="T22" s="6"/>
      <c r="U22" s="6"/>
      <c r="V22" s="6"/>
      <c r="W22" s="6"/>
      <c r="X22" s="6"/>
      <c r="Y22" s="6"/>
      <c r="Z22" s="6"/>
    </row>
    <row r="23" spans="1:26" ht="15.75" customHeight="1">
      <c r="A23" s="64"/>
      <c r="B23" s="53"/>
      <c r="C23" s="69"/>
      <c r="D23" s="69"/>
      <c r="E23" s="69"/>
      <c r="F23" s="69"/>
      <c r="G23" s="44"/>
      <c r="H23" s="70"/>
      <c r="I23" s="71"/>
      <c r="J23" s="68"/>
      <c r="K23" s="6"/>
      <c r="L23" s="6"/>
      <c r="M23" s="6"/>
      <c r="N23" s="6"/>
      <c r="O23" s="6"/>
      <c r="P23" s="6"/>
      <c r="Q23" s="6"/>
      <c r="R23" s="6"/>
      <c r="S23" s="6"/>
      <c r="T23" s="6"/>
      <c r="U23" s="6"/>
      <c r="V23" s="6"/>
      <c r="W23" s="6"/>
      <c r="X23" s="6"/>
      <c r="Y23" s="6"/>
      <c r="Z23" s="6"/>
    </row>
    <row r="24" spans="1:26" ht="15.75" customHeight="1">
      <c r="A24" s="64"/>
      <c r="B24" s="8"/>
      <c r="C24" s="8"/>
      <c r="D24" s="8"/>
      <c r="E24" s="8"/>
      <c r="F24" s="8"/>
      <c r="G24" s="44"/>
      <c r="H24" s="72"/>
      <c r="I24" s="72"/>
      <c r="J24" s="68"/>
      <c r="K24" s="6"/>
      <c r="L24" s="6"/>
      <c r="M24" s="6"/>
      <c r="N24" s="6"/>
      <c r="O24" s="6"/>
      <c r="P24" s="6"/>
      <c r="Q24" s="6"/>
      <c r="R24" s="6"/>
      <c r="S24" s="6"/>
      <c r="T24" s="6"/>
      <c r="U24" s="6"/>
      <c r="V24" s="6"/>
      <c r="W24" s="6"/>
      <c r="X24" s="6"/>
      <c r="Y24" s="6"/>
      <c r="Z24" s="6"/>
    </row>
    <row r="25" spans="1:26" ht="15.75" customHeight="1">
      <c r="A25" s="64"/>
      <c r="B25" s="8"/>
      <c r="C25" s="8"/>
      <c r="D25" s="8"/>
      <c r="E25" s="8"/>
      <c r="F25" s="8"/>
      <c r="G25" s="44"/>
      <c r="H25" s="72"/>
      <c r="I25" s="72"/>
      <c r="J25" s="68"/>
      <c r="K25" s="6"/>
      <c r="L25" s="6"/>
      <c r="M25" s="6"/>
      <c r="N25" s="6"/>
      <c r="O25" s="6"/>
      <c r="P25" s="6"/>
      <c r="Q25" s="6"/>
      <c r="R25" s="6"/>
      <c r="S25" s="6"/>
      <c r="T25" s="6"/>
      <c r="U25" s="6"/>
      <c r="V25" s="6"/>
      <c r="W25" s="6"/>
      <c r="X25" s="6"/>
      <c r="Y25" s="6"/>
      <c r="Z25" s="6"/>
    </row>
    <row r="26" spans="1:26" ht="15.75" customHeight="1">
      <c r="A26" s="64"/>
      <c r="B26" s="8"/>
      <c r="C26" s="8"/>
      <c r="D26" s="8"/>
      <c r="E26" s="8"/>
      <c r="F26" s="8"/>
      <c r="G26" s="44"/>
      <c r="H26" s="72"/>
      <c r="I26" s="72"/>
      <c r="J26" s="68"/>
      <c r="K26" s="6"/>
      <c r="L26" s="6"/>
      <c r="M26" s="6"/>
      <c r="N26" s="6"/>
      <c r="O26" s="6"/>
      <c r="P26" s="6"/>
      <c r="Q26" s="6"/>
      <c r="R26" s="6"/>
      <c r="S26" s="6"/>
      <c r="T26" s="6"/>
      <c r="U26" s="6"/>
      <c r="V26" s="6"/>
      <c r="W26" s="6"/>
      <c r="X26" s="6"/>
      <c r="Y26" s="6"/>
      <c r="Z26" s="6"/>
    </row>
    <row r="27" spans="1:26" ht="15.75" customHeight="1">
      <c r="A27" s="64"/>
      <c r="B27" s="8"/>
      <c r="C27" s="8"/>
      <c r="D27" s="8"/>
      <c r="E27" s="8"/>
      <c r="F27" s="8"/>
      <c r="G27" s="44"/>
      <c r="H27" s="72"/>
      <c r="I27" s="72"/>
      <c r="J27" s="68"/>
      <c r="K27" s="6"/>
      <c r="L27" s="6"/>
      <c r="M27" s="6"/>
      <c r="N27" s="6"/>
      <c r="O27" s="6"/>
      <c r="P27" s="6"/>
      <c r="Q27" s="6"/>
      <c r="R27" s="6"/>
      <c r="S27" s="6"/>
      <c r="T27" s="6"/>
      <c r="U27" s="6"/>
      <c r="V27" s="6"/>
      <c r="W27" s="6"/>
      <c r="X27" s="6"/>
      <c r="Y27" s="6"/>
      <c r="Z27" s="6"/>
    </row>
    <row r="28" spans="1:26" ht="15.75" customHeight="1">
      <c r="A28" s="64"/>
      <c r="B28" s="8"/>
      <c r="C28" s="8"/>
      <c r="D28" s="8"/>
      <c r="E28" s="8"/>
      <c r="F28" s="8"/>
      <c r="G28" s="44"/>
      <c r="H28" s="72"/>
      <c r="I28" s="72"/>
      <c r="J28" s="68"/>
      <c r="K28" s="6"/>
      <c r="L28" s="6"/>
      <c r="M28" s="6"/>
      <c r="N28" s="6"/>
      <c r="O28" s="6"/>
      <c r="P28" s="6"/>
      <c r="Q28" s="6"/>
      <c r="R28" s="6"/>
      <c r="S28" s="6"/>
      <c r="T28" s="6"/>
      <c r="U28" s="6"/>
      <c r="V28" s="6"/>
      <c r="W28" s="6"/>
      <c r="X28" s="6"/>
      <c r="Y28" s="6"/>
      <c r="Z28" s="6"/>
    </row>
    <row r="29" spans="1:26" ht="15.75" customHeight="1">
      <c r="A29" s="64"/>
      <c r="B29" s="8"/>
      <c r="C29" s="8"/>
      <c r="D29" s="8"/>
      <c r="E29" s="8"/>
      <c r="F29" s="8"/>
      <c r="G29" s="44"/>
      <c r="H29" s="72"/>
      <c r="I29" s="72"/>
      <c r="J29" s="68"/>
      <c r="K29" s="6"/>
      <c r="L29" s="6"/>
      <c r="M29" s="6"/>
      <c r="N29" s="6"/>
      <c r="O29" s="6"/>
      <c r="P29" s="6"/>
      <c r="Q29" s="6"/>
      <c r="R29" s="6"/>
      <c r="S29" s="6"/>
      <c r="T29" s="6"/>
      <c r="U29" s="6"/>
      <c r="V29" s="6"/>
      <c r="W29" s="6"/>
      <c r="X29" s="6"/>
      <c r="Y29" s="6"/>
      <c r="Z29" s="6"/>
    </row>
    <row r="30" spans="1:26" ht="15.75" customHeight="1">
      <c r="A30" s="64"/>
      <c r="B30" s="8"/>
      <c r="C30" s="8"/>
      <c r="D30" s="8"/>
      <c r="E30" s="8"/>
      <c r="F30" s="8"/>
      <c r="G30" s="44"/>
      <c r="H30" s="72"/>
      <c r="I30" s="72"/>
      <c r="J30" s="68"/>
      <c r="K30" s="6"/>
      <c r="L30" s="6"/>
      <c r="M30" s="6"/>
      <c r="N30" s="6"/>
      <c r="O30" s="6"/>
      <c r="P30" s="6"/>
      <c r="Q30" s="6"/>
      <c r="R30" s="6"/>
      <c r="S30" s="6"/>
      <c r="T30" s="6"/>
      <c r="U30" s="6"/>
      <c r="V30" s="6"/>
      <c r="W30" s="6"/>
      <c r="X30" s="6"/>
      <c r="Y30" s="6"/>
      <c r="Z30" s="6"/>
    </row>
    <row r="31" spans="1:26" ht="15.75" customHeight="1">
      <c r="A31" s="64"/>
      <c r="B31" s="8"/>
      <c r="C31" s="8"/>
      <c r="D31" s="8"/>
      <c r="E31" s="8"/>
      <c r="F31" s="8"/>
      <c r="G31" s="44"/>
      <c r="H31" s="72"/>
      <c r="I31" s="72"/>
      <c r="J31" s="68"/>
      <c r="K31" s="6"/>
      <c r="L31" s="6"/>
      <c r="M31" s="6"/>
      <c r="N31" s="6"/>
      <c r="O31" s="6"/>
      <c r="P31" s="6"/>
      <c r="Q31" s="6"/>
      <c r="R31" s="6"/>
      <c r="S31" s="6"/>
      <c r="T31" s="6"/>
      <c r="U31" s="6"/>
      <c r="V31" s="6"/>
      <c r="W31" s="6"/>
      <c r="X31" s="6"/>
      <c r="Y31" s="6"/>
      <c r="Z31" s="6"/>
    </row>
    <row r="32" spans="1:26" ht="15.75" customHeight="1">
      <c r="A32" s="64"/>
      <c r="B32" s="8"/>
      <c r="C32" s="8"/>
      <c r="D32" s="8"/>
      <c r="E32" s="8"/>
      <c r="F32" s="8"/>
      <c r="G32" s="44"/>
      <c r="H32" s="72"/>
      <c r="I32" s="72"/>
      <c r="J32" s="68"/>
      <c r="K32" s="6"/>
      <c r="L32" s="6"/>
      <c r="M32" s="6"/>
      <c r="N32" s="6"/>
      <c r="O32" s="6"/>
      <c r="P32" s="6"/>
      <c r="Q32" s="6"/>
      <c r="R32" s="6"/>
      <c r="S32" s="6"/>
      <c r="T32" s="6"/>
      <c r="U32" s="6"/>
      <c r="V32" s="6"/>
      <c r="W32" s="6"/>
      <c r="X32" s="6"/>
      <c r="Y32" s="6"/>
      <c r="Z32" s="6"/>
    </row>
    <row r="33" spans="1:26" ht="15.75" customHeight="1">
      <c r="A33" s="64"/>
      <c r="B33" s="8"/>
      <c r="C33" s="8"/>
      <c r="D33" s="8"/>
      <c r="E33" s="8"/>
      <c r="F33" s="8"/>
      <c r="G33" s="44"/>
      <c r="H33" s="72"/>
      <c r="I33" s="72"/>
      <c r="J33" s="68"/>
      <c r="K33" s="6"/>
      <c r="L33" s="6"/>
      <c r="M33" s="6"/>
      <c r="N33" s="6"/>
      <c r="O33" s="6"/>
      <c r="P33" s="6"/>
      <c r="Q33" s="6"/>
      <c r="R33" s="6"/>
      <c r="S33" s="6"/>
      <c r="T33" s="6"/>
      <c r="U33" s="6"/>
      <c r="V33" s="6"/>
      <c r="W33" s="6"/>
      <c r="X33" s="6"/>
      <c r="Y33" s="6"/>
      <c r="Z33" s="6"/>
    </row>
    <row r="34" spans="1:26" ht="15.75" customHeight="1">
      <c r="A34" s="64"/>
      <c r="B34" s="8"/>
      <c r="C34" s="8"/>
      <c r="D34" s="8"/>
      <c r="E34" s="8"/>
      <c r="F34" s="8"/>
      <c r="G34" s="44"/>
      <c r="H34" s="72"/>
      <c r="I34" s="72"/>
      <c r="J34" s="68"/>
      <c r="K34" s="6"/>
      <c r="L34" s="6"/>
      <c r="M34" s="6"/>
      <c r="N34" s="6"/>
      <c r="O34" s="6"/>
      <c r="P34" s="6"/>
      <c r="Q34" s="6"/>
      <c r="R34" s="6"/>
      <c r="S34" s="6"/>
      <c r="T34" s="6"/>
      <c r="U34" s="6"/>
      <c r="V34" s="6"/>
      <c r="W34" s="6"/>
      <c r="X34" s="6"/>
      <c r="Y34" s="6"/>
      <c r="Z34" s="6"/>
    </row>
    <row r="35" spans="1:26" ht="15.75" customHeight="1">
      <c r="A35" s="64"/>
      <c r="B35" s="8"/>
      <c r="C35" s="8"/>
      <c r="D35" s="8"/>
      <c r="E35" s="8"/>
      <c r="F35" s="8"/>
      <c r="G35" s="44"/>
      <c r="H35" s="72"/>
      <c r="I35" s="72"/>
      <c r="J35" s="68"/>
      <c r="K35" s="6"/>
      <c r="L35" s="6"/>
      <c r="M35" s="6"/>
      <c r="N35" s="6"/>
      <c r="O35" s="6"/>
      <c r="P35" s="6"/>
      <c r="Q35" s="6"/>
      <c r="R35" s="6"/>
      <c r="S35" s="6"/>
      <c r="T35" s="6"/>
      <c r="U35" s="6"/>
      <c r="V35" s="6"/>
      <c r="W35" s="6"/>
      <c r="X35" s="6"/>
      <c r="Y35" s="6"/>
      <c r="Z35" s="6"/>
    </row>
    <row r="36" spans="1:26" ht="15.75" customHeight="1">
      <c r="A36" s="64"/>
      <c r="B36" s="8"/>
      <c r="C36" s="8"/>
      <c r="D36" s="8"/>
      <c r="E36" s="8"/>
      <c r="F36" s="8"/>
      <c r="G36" s="44"/>
      <c r="H36" s="72"/>
      <c r="I36" s="72"/>
      <c r="J36" s="68"/>
      <c r="K36" s="6"/>
      <c r="L36" s="6"/>
      <c r="M36" s="6"/>
      <c r="N36" s="6"/>
      <c r="O36" s="6"/>
      <c r="P36" s="6"/>
      <c r="Q36" s="6"/>
      <c r="R36" s="6"/>
      <c r="S36" s="6"/>
      <c r="T36" s="6"/>
      <c r="U36" s="6"/>
      <c r="V36" s="6"/>
      <c r="W36" s="6"/>
      <c r="X36" s="6"/>
      <c r="Y36" s="6"/>
      <c r="Z36" s="6"/>
    </row>
    <row r="37" spans="1:26" ht="15.75" customHeight="1">
      <c r="A37" s="64"/>
      <c r="B37" s="8"/>
      <c r="C37" s="8"/>
      <c r="D37" s="8"/>
      <c r="E37" s="8"/>
      <c r="F37" s="8"/>
      <c r="G37" s="44"/>
      <c r="H37" s="72"/>
      <c r="I37" s="72"/>
      <c r="J37" s="68"/>
      <c r="K37" s="6"/>
      <c r="L37" s="6"/>
      <c r="M37" s="6"/>
      <c r="N37" s="6"/>
      <c r="O37" s="6"/>
      <c r="P37" s="6"/>
      <c r="Q37" s="6"/>
      <c r="R37" s="6"/>
      <c r="S37" s="6"/>
      <c r="T37" s="6"/>
      <c r="U37" s="6"/>
      <c r="V37" s="6"/>
      <c r="W37" s="6"/>
      <c r="X37" s="6"/>
      <c r="Y37" s="6"/>
      <c r="Z37" s="6"/>
    </row>
    <row r="38" spans="1:26" ht="15.75" customHeight="1">
      <c r="A38" s="64"/>
      <c r="B38" s="8"/>
      <c r="C38" s="8"/>
      <c r="D38" s="8"/>
      <c r="E38" s="8"/>
      <c r="F38" s="8"/>
      <c r="G38" s="44"/>
      <c r="H38" s="72"/>
      <c r="I38" s="72"/>
      <c r="J38" s="68"/>
      <c r="K38" s="6"/>
      <c r="L38" s="6"/>
      <c r="M38" s="6"/>
      <c r="N38" s="6"/>
      <c r="O38" s="6"/>
      <c r="P38" s="6"/>
      <c r="Q38" s="6"/>
      <c r="R38" s="6"/>
      <c r="S38" s="6"/>
      <c r="T38" s="6"/>
      <c r="U38" s="6"/>
      <c r="V38" s="6"/>
      <c r="W38" s="6"/>
      <c r="X38" s="6"/>
      <c r="Y38" s="6"/>
      <c r="Z38" s="6"/>
    </row>
    <row r="39" spans="1:26" ht="4.5" customHeight="1">
      <c r="A39" s="6"/>
      <c r="B39" s="11"/>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592" t="s">
        <v>182</v>
      </c>
      <c r="C40" s="521"/>
      <c r="D40" s="521"/>
      <c r="E40" s="521"/>
      <c r="F40" s="519"/>
      <c r="G40" s="6"/>
      <c r="H40" s="6"/>
      <c r="I40" s="6"/>
      <c r="J40" s="6"/>
      <c r="K40" s="6"/>
      <c r="L40" s="6"/>
      <c r="M40" s="6"/>
      <c r="N40" s="6"/>
      <c r="O40" s="6"/>
      <c r="P40" s="6"/>
      <c r="Q40" s="6"/>
      <c r="R40" s="6"/>
      <c r="S40" s="6"/>
      <c r="T40" s="6"/>
      <c r="U40" s="6"/>
      <c r="V40" s="6"/>
      <c r="W40" s="6"/>
      <c r="X40" s="6"/>
      <c r="Y40" s="6"/>
      <c r="Z40" s="6"/>
    </row>
    <row r="41" spans="1:26" ht="4.5" customHeight="1">
      <c r="A41" s="6"/>
      <c r="B41" s="11"/>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4" t="s">
        <v>136</v>
      </c>
      <c r="B42" s="8"/>
      <c r="C42" s="8"/>
      <c r="D42" s="8"/>
      <c r="E42" s="8"/>
      <c r="F42" s="8"/>
      <c r="G42" s="44" t="s">
        <v>181</v>
      </c>
      <c r="H42" s="72"/>
      <c r="I42" s="72"/>
      <c r="J42" s="68">
        <v>1000</v>
      </c>
      <c r="K42" s="6"/>
      <c r="L42" s="6"/>
      <c r="M42" s="6"/>
      <c r="N42" s="6"/>
      <c r="O42" s="6"/>
      <c r="P42" s="6"/>
      <c r="Q42" s="6"/>
      <c r="R42" s="6"/>
      <c r="S42" s="6"/>
      <c r="T42" s="6"/>
      <c r="U42" s="6"/>
      <c r="V42" s="6"/>
      <c r="W42" s="6"/>
      <c r="X42" s="6"/>
      <c r="Y42" s="6"/>
      <c r="Z42" s="6"/>
    </row>
    <row r="43" spans="1:26" ht="15.75" customHeight="1">
      <c r="A43" s="64"/>
      <c r="B43" s="8"/>
      <c r="C43" s="8"/>
      <c r="D43" s="8"/>
      <c r="E43" s="8"/>
      <c r="F43" s="8"/>
      <c r="G43" s="44"/>
      <c r="H43" s="72"/>
      <c r="I43" s="72"/>
      <c r="J43" s="68"/>
      <c r="K43" s="6"/>
      <c r="L43" s="6"/>
      <c r="M43" s="6"/>
      <c r="N43" s="6"/>
      <c r="O43" s="6"/>
      <c r="P43" s="6"/>
      <c r="Q43" s="6"/>
      <c r="R43" s="6"/>
      <c r="S43" s="6"/>
      <c r="T43" s="6"/>
      <c r="U43" s="6"/>
      <c r="V43" s="6"/>
      <c r="W43" s="6"/>
      <c r="X43" s="6"/>
      <c r="Y43" s="6"/>
      <c r="Z43" s="6"/>
    </row>
    <row r="44" spans="1:26" ht="15.75" customHeight="1">
      <c r="A44" s="64"/>
      <c r="B44" s="8"/>
      <c r="C44" s="8"/>
      <c r="D44" s="8"/>
      <c r="E44" s="8"/>
      <c r="F44" s="8"/>
      <c r="G44" s="44"/>
      <c r="H44" s="72"/>
      <c r="I44" s="72"/>
      <c r="J44" s="68"/>
      <c r="K44" s="6"/>
      <c r="L44" s="6"/>
      <c r="M44" s="6"/>
      <c r="N44" s="6"/>
      <c r="O44" s="6"/>
      <c r="P44" s="6"/>
      <c r="Q44" s="6"/>
      <c r="R44" s="6"/>
      <c r="S44" s="6"/>
      <c r="T44" s="6"/>
      <c r="U44" s="6"/>
      <c r="V44" s="6"/>
      <c r="W44" s="6"/>
      <c r="X44" s="6"/>
      <c r="Y44" s="6"/>
      <c r="Z44" s="6"/>
    </row>
    <row r="45" spans="1:26" ht="15.75" customHeight="1">
      <c r="A45" s="64"/>
      <c r="B45" s="8"/>
      <c r="C45" s="8"/>
      <c r="D45" s="8"/>
      <c r="E45" s="8"/>
      <c r="F45" s="8"/>
      <c r="G45" s="44"/>
      <c r="H45" s="72"/>
      <c r="I45" s="72"/>
      <c r="J45" s="68"/>
      <c r="K45" s="6"/>
      <c r="L45" s="6"/>
      <c r="M45" s="6"/>
      <c r="N45" s="6"/>
      <c r="O45" s="6"/>
      <c r="P45" s="6"/>
      <c r="Q45" s="6"/>
      <c r="R45" s="6"/>
      <c r="S45" s="6"/>
      <c r="T45" s="6"/>
      <c r="U45" s="6"/>
      <c r="V45" s="6"/>
      <c r="W45" s="6"/>
      <c r="X45" s="6"/>
      <c r="Y45" s="6"/>
      <c r="Z45" s="6"/>
    </row>
    <row r="46" spans="1:26" ht="15.75" customHeight="1">
      <c r="A46" s="64"/>
      <c r="B46" s="8"/>
      <c r="C46" s="8"/>
      <c r="D46" s="8"/>
      <c r="E46" s="8"/>
      <c r="F46" s="8"/>
      <c r="G46" s="44"/>
      <c r="H46" s="72"/>
      <c r="I46" s="72"/>
      <c r="J46" s="68"/>
      <c r="K46" s="6"/>
      <c r="L46" s="6"/>
      <c r="M46" s="6"/>
      <c r="N46" s="6"/>
      <c r="O46" s="6"/>
      <c r="P46" s="6"/>
      <c r="Q46" s="6"/>
      <c r="R46" s="6"/>
      <c r="S46" s="6"/>
      <c r="T46" s="6"/>
      <c r="U46" s="6"/>
      <c r="V46" s="6"/>
      <c r="W46" s="6"/>
      <c r="X46" s="6"/>
      <c r="Y46" s="6"/>
      <c r="Z46" s="6"/>
    </row>
    <row r="47" spans="1:26" ht="15.75" customHeight="1">
      <c r="A47" s="64"/>
      <c r="B47" s="8"/>
      <c r="C47" s="8"/>
      <c r="D47" s="8"/>
      <c r="E47" s="8"/>
      <c r="F47" s="8"/>
      <c r="G47" s="44"/>
      <c r="H47" s="72"/>
      <c r="I47" s="72"/>
      <c r="J47" s="68"/>
      <c r="K47" s="6"/>
      <c r="L47" s="6"/>
      <c r="M47" s="6"/>
      <c r="N47" s="6"/>
      <c r="O47" s="6"/>
      <c r="P47" s="6"/>
      <c r="Q47" s="6"/>
      <c r="R47" s="6"/>
      <c r="S47" s="6"/>
      <c r="T47" s="6"/>
      <c r="U47" s="6"/>
      <c r="V47" s="6"/>
      <c r="W47" s="6"/>
      <c r="X47" s="6"/>
      <c r="Y47" s="6"/>
      <c r="Z47" s="6"/>
    </row>
    <row r="48" spans="1:26" ht="15.75" customHeight="1">
      <c r="A48" s="64"/>
      <c r="B48" s="8"/>
      <c r="C48" s="8"/>
      <c r="D48" s="8"/>
      <c r="E48" s="8"/>
      <c r="F48" s="8"/>
      <c r="G48" s="44"/>
      <c r="H48" s="72"/>
      <c r="I48" s="72"/>
      <c r="J48" s="68"/>
      <c r="K48" s="6"/>
      <c r="L48" s="6"/>
      <c r="M48" s="6"/>
      <c r="N48" s="6"/>
      <c r="O48" s="6"/>
      <c r="P48" s="6"/>
      <c r="Q48" s="6"/>
      <c r="R48" s="6"/>
      <c r="S48" s="6"/>
      <c r="T48" s="6"/>
      <c r="U48" s="6"/>
      <c r="V48" s="6"/>
      <c r="W48" s="6"/>
      <c r="X48" s="6"/>
      <c r="Y48" s="6"/>
      <c r="Z48" s="6"/>
    </row>
    <row r="49" spans="1:26" ht="15.75" customHeight="1">
      <c r="A49" s="64"/>
      <c r="B49" s="8"/>
      <c r="C49" s="8"/>
      <c r="D49" s="8"/>
      <c r="E49" s="8"/>
      <c r="F49" s="8"/>
      <c r="G49" s="44"/>
      <c r="H49" s="72"/>
      <c r="I49" s="72"/>
      <c r="J49" s="68"/>
      <c r="K49" s="6"/>
      <c r="L49" s="6"/>
      <c r="M49" s="6"/>
      <c r="N49" s="6"/>
      <c r="O49" s="6"/>
      <c r="P49" s="6"/>
      <c r="Q49" s="6"/>
      <c r="R49" s="6"/>
      <c r="S49" s="6"/>
      <c r="T49" s="6"/>
      <c r="U49" s="6"/>
      <c r="V49" s="6"/>
      <c r="W49" s="6"/>
      <c r="X49" s="6"/>
      <c r="Y49" s="6"/>
      <c r="Z49" s="6"/>
    </row>
    <row r="50" spans="1:26" ht="15.75" customHeight="1">
      <c r="A50" s="64"/>
      <c r="B50" s="8"/>
      <c r="C50" s="8"/>
      <c r="D50" s="8"/>
      <c r="E50" s="8"/>
      <c r="F50" s="8"/>
      <c r="G50" s="44"/>
      <c r="H50" s="73"/>
      <c r="I50" s="74"/>
      <c r="J50" s="68"/>
      <c r="K50" s="6"/>
      <c r="L50" s="6"/>
      <c r="M50" s="6"/>
      <c r="N50" s="6"/>
      <c r="O50" s="6"/>
      <c r="P50" s="6"/>
      <c r="Q50" s="6"/>
      <c r="R50" s="6"/>
      <c r="S50" s="6"/>
      <c r="T50" s="6"/>
      <c r="U50" s="6"/>
      <c r="V50" s="6"/>
      <c r="W50" s="6"/>
      <c r="X50" s="6"/>
      <c r="Y50" s="6"/>
      <c r="Z50" s="6"/>
    </row>
    <row r="51" spans="1:26" ht="15.75" customHeight="1">
      <c r="A51" s="64"/>
      <c r="B51" s="8"/>
      <c r="C51" s="8"/>
      <c r="D51" s="8"/>
      <c r="E51" s="8"/>
      <c r="F51" s="8"/>
      <c r="G51" s="44"/>
      <c r="H51" s="72"/>
      <c r="I51" s="72"/>
      <c r="J51" s="68"/>
      <c r="K51" s="6"/>
      <c r="L51" s="6"/>
      <c r="M51" s="6"/>
      <c r="N51" s="6"/>
      <c r="O51" s="6"/>
      <c r="P51" s="6"/>
      <c r="Q51" s="6"/>
      <c r="R51" s="6"/>
      <c r="S51" s="6"/>
      <c r="T51" s="6"/>
      <c r="U51" s="6"/>
      <c r="V51" s="6"/>
      <c r="W51" s="6"/>
      <c r="X51" s="6"/>
      <c r="Y51" s="6"/>
      <c r="Z51" s="6"/>
    </row>
    <row r="52" spans="1:26" ht="15.75" customHeight="1">
      <c r="A52" s="64"/>
      <c r="B52" s="8"/>
      <c r="C52" s="8"/>
      <c r="D52" s="8"/>
      <c r="E52" s="8"/>
      <c r="F52" s="8"/>
      <c r="G52" s="44"/>
      <c r="H52" s="72"/>
      <c r="I52" s="72"/>
      <c r="J52" s="68"/>
      <c r="K52" s="6"/>
      <c r="L52" s="6"/>
      <c r="M52" s="6"/>
      <c r="N52" s="6"/>
      <c r="O52" s="6"/>
      <c r="P52" s="6"/>
      <c r="Q52" s="6"/>
      <c r="R52" s="6"/>
      <c r="S52" s="6"/>
      <c r="T52" s="6"/>
      <c r="U52" s="6"/>
      <c r="V52" s="6"/>
      <c r="W52" s="6"/>
      <c r="X52" s="6"/>
      <c r="Y52" s="6"/>
      <c r="Z52" s="6"/>
    </row>
    <row r="53" spans="1:26" ht="15.75" customHeight="1">
      <c r="A53" s="64"/>
      <c r="B53" s="8"/>
      <c r="C53" s="8"/>
      <c r="D53" s="8"/>
      <c r="E53" s="8"/>
      <c r="F53" s="8"/>
      <c r="G53" s="44"/>
      <c r="H53" s="72"/>
      <c r="I53" s="72"/>
      <c r="J53" s="68"/>
      <c r="K53" s="6"/>
      <c r="L53" s="6"/>
      <c r="M53" s="6"/>
      <c r="N53" s="6"/>
      <c r="O53" s="6"/>
      <c r="P53" s="6"/>
      <c r="Q53" s="6"/>
      <c r="R53" s="6"/>
      <c r="S53" s="6"/>
      <c r="T53" s="6"/>
      <c r="U53" s="6"/>
      <c r="V53" s="6"/>
      <c r="W53" s="6"/>
      <c r="X53" s="6"/>
      <c r="Y53" s="6"/>
      <c r="Z53" s="6"/>
    </row>
    <row r="54" spans="1:26" ht="15.75" customHeight="1">
      <c r="A54" s="64"/>
      <c r="B54" s="8"/>
      <c r="C54" s="8"/>
      <c r="D54" s="8"/>
      <c r="E54" s="8"/>
      <c r="F54" s="8"/>
      <c r="G54" s="44"/>
      <c r="H54" s="72"/>
      <c r="I54" s="72"/>
      <c r="J54" s="68"/>
      <c r="K54" s="6"/>
      <c r="L54" s="6"/>
      <c r="M54" s="6"/>
      <c r="N54" s="6"/>
      <c r="O54" s="6"/>
      <c r="P54" s="6"/>
      <c r="Q54" s="6"/>
      <c r="R54" s="6"/>
      <c r="S54" s="6"/>
      <c r="T54" s="6"/>
      <c r="U54" s="6"/>
      <c r="V54" s="6"/>
      <c r="W54" s="6"/>
      <c r="X54" s="6"/>
      <c r="Y54" s="6"/>
      <c r="Z54" s="6"/>
    </row>
    <row r="55" spans="1:26" ht="15.75" customHeight="1">
      <c r="A55" s="64"/>
      <c r="B55" s="8"/>
      <c r="C55" s="8"/>
      <c r="D55" s="8"/>
      <c r="E55" s="8"/>
      <c r="F55" s="8"/>
      <c r="G55" s="44"/>
      <c r="H55" s="72"/>
      <c r="I55" s="72"/>
      <c r="J55" s="68"/>
      <c r="K55" s="6"/>
      <c r="L55" s="6"/>
      <c r="M55" s="6"/>
      <c r="N55" s="6"/>
      <c r="O55" s="6"/>
      <c r="P55" s="6"/>
      <c r="Q55" s="6"/>
      <c r="R55" s="6"/>
      <c r="S55" s="6"/>
      <c r="T55" s="6"/>
      <c r="U55" s="6"/>
      <c r="V55" s="6"/>
      <c r="W55" s="6"/>
      <c r="X55" s="6"/>
      <c r="Y55" s="6"/>
      <c r="Z55" s="6"/>
    </row>
    <row r="56" spans="1:26" ht="15.75" customHeight="1">
      <c r="A56" s="64"/>
      <c r="B56" s="8"/>
      <c r="C56" s="8"/>
      <c r="D56" s="8"/>
      <c r="E56" s="8"/>
      <c r="F56" s="8"/>
      <c r="G56" s="44"/>
      <c r="H56" s="72"/>
      <c r="I56" s="72"/>
      <c r="J56" s="68"/>
      <c r="K56" s="6"/>
      <c r="L56" s="6"/>
      <c r="M56" s="6"/>
      <c r="N56" s="6"/>
      <c r="O56" s="6"/>
      <c r="P56" s="6"/>
      <c r="Q56" s="6"/>
      <c r="R56" s="6"/>
      <c r="S56" s="6"/>
      <c r="T56" s="6"/>
      <c r="U56" s="6"/>
      <c r="V56" s="6"/>
      <c r="W56" s="6"/>
      <c r="X56" s="6"/>
      <c r="Y56" s="6"/>
      <c r="Z56" s="6"/>
    </row>
    <row r="57" spans="1:26" ht="15.75" customHeight="1">
      <c r="A57" s="64"/>
      <c r="B57" s="8"/>
      <c r="C57" s="8"/>
      <c r="D57" s="8"/>
      <c r="E57" s="8"/>
      <c r="F57" s="8"/>
      <c r="G57" s="44"/>
      <c r="H57" s="72"/>
      <c r="I57" s="72"/>
      <c r="J57" s="68"/>
      <c r="K57" s="6"/>
      <c r="L57" s="6"/>
      <c r="M57" s="6"/>
      <c r="N57" s="6"/>
      <c r="O57" s="6"/>
      <c r="P57" s="6"/>
      <c r="Q57" s="6"/>
      <c r="R57" s="6"/>
      <c r="S57" s="6"/>
      <c r="T57" s="6"/>
      <c r="U57" s="6"/>
      <c r="V57" s="6"/>
      <c r="W57" s="6"/>
      <c r="X57" s="6"/>
      <c r="Y57" s="6"/>
      <c r="Z57" s="6"/>
    </row>
    <row r="58" spans="1:26" ht="4.5" customHeight="1">
      <c r="A58" s="6"/>
      <c r="B58" s="11"/>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592" t="s">
        <v>185</v>
      </c>
      <c r="C59" s="521"/>
      <c r="D59" s="521"/>
      <c r="E59" s="521"/>
      <c r="F59" s="519"/>
      <c r="G59" s="6"/>
      <c r="H59" s="6"/>
      <c r="I59" s="6"/>
      <c r="J59" s="6"/>
      <c r="K59" s="6"/>
      <c r="L59" s="6"/>
      <c r="M59" s="6"/>
      <c r="N59" s="6"/>
      <c r="O59" s="6"/>
      <c r="P59" s="6"/>
      <c r="Q59" s="6"/>
      <c r="R59" s="6"/>
      <c r="S59" s="6"/>
      <c r="T59" s="6"/>
      <c r="U59" s="6"/>
      <c r="V59" s="6"/>
      <c r="W59" s="6"/>
      <c r="X59" s="6"/>
      <c r="Y59" s="6"/>
      <c r="Z59" s="6"/>
    </row>
    <row r="60" spans="1:26" ht="4.5" customHeight="1">
      <c r="A60" s="6"/>
      <c r="B60" s="11"/>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75" t="s">
        <v>136</v>
      </c>
      <c r="B61" s="8"/>
      <c r="C61" s="8"/>
      <c r="D61" s="8"/>
      <c r="E61" s="8"/>
      <c r="F61" s="8"/>
      <c r="G61" s="44" t="s">
        <v>186</v>
      </c>
      <c r="H61" s="72"/>
      <c r="I61" s="72"/>
      <c r="J61" s="68">
        <v>100</v>
      </c>
      <c r="K61" s="6"/>
      <c r="L61" s="6"/>
      <c r="M61" s="6"/>
      <c r="N61" s="6"/>
      <c r="O61" s="6"/>
      <c r="P61" s="6"/>
      <c r="Q61" s="6"/>
      <c r="R61" s="6"/>
      <c r="S61" s="6"/>
      <c r="T61" s="6"/>
      <c r="U61" s="6"/>
      <c r="V61" s="6"/>
      <c r="W61" s="6"/>
      <c r="X61" s="6"/>
      <c r="Y61" s="6"/>
      <c r="Z61" s="6"/>
    </row>
    <row r="62" spans="1:26" ht="15.75" customHeight="1">
      <c r="A62" s="75"/>
      <c r="B62" s="8"/>
      <c r="C62" s="8"/>
      <c r="D62" s="8"/>
      <c r="E62" s="8"/>
      <c r="F62" s="8"/>
      <c r="G62" s="44"/>
      <c r="H62" s="72"/>
      <c r="I62" s="72"/>
      <c r="J62" s="68"/>
      <c r="K62" s="6"/>
      <c r="L62" s="6"/>
      <c r="M62" s="6"/>
      <c r="N62" s="6"/>
      <c r="O62" s="6"/>
      <c r="P62" s="6"/>
      <c r="Q62" s="6"/>
      <c r="R62" s="6"/>
      <c r="S62" s="6"/>
      <c r="T62" s="6"/>
      <c r="U62" s="6"/>
      <c r="V62" s="6"/>
      <c r="W62" s="6"/>
      <c r="X62" s="6"/>
      <c r="Y62" s="6"/>
      <c r="Z62" s="6"/>
    </row>
    <row r="63" spans="1:26" ht="15.75" customHeight="1">
      <c r="A63" s="75"/>
      <c r="B63" s="8"/>
      <c r="C63" s="8"/>
      <c r="D63" s="8"/>
      <c r="E63" s="8"/>
      <c r="F63" s="8"/>
      <c r="G63" s="44"/>
      <c r="H63" s="72"/>
      <c r="I63" s="72"/>
      <c r="J63" s="68"/>
      <c r="K63" s="6"/>
      <c r="L63" s="6"/>
      <c r="M63" s="6"/>
      <c r="N63" s="6"/>
      <c r="O63" s="6"/>
      <c r="P63" s="6"/>
      <c r="Q63" s="6"/>
      <c r="R63" s="6"/>
      <c r="S63" s="6"/>
      <c r="T63" s="6"/>
      <c r="U63" s="6"/>
      <c r="V63" s="6"/>
      <c r="W63" s="6"/>
      <c r="X63" s="6"/>
      <c r="Y63" s="6"/>
      <c r="Z63" s="6"/>
    </row>
    <row r="64" spans="1:26" ht="15.75" customHeight="1">
      <c r="A64" s="75"/>
      <c r="B64" s="8"/>
      <c r="C64" s="8"/>
      <c r="D64" s="8"/>
      <c r="E64" s="8"/>
      <c r="F64" s="8"/>
      <c r="G64" s="44"/>
      <c r="H64" s="72"/>
      <c r="I64" s="72"/>
      <c r="J64" s="68"/>
      <c r="K64" s="6"/>
      <c r="L64" s="6"/>
      <c r="M64" s="6"/>
      <c r="N64" s="6"/>
      <c r="O64" s="6"/>
      <c r="P64" s="6"/>
      <c r="Q64" s="6"/>
      <c r="R64" s="6"/>
      <c r="S64" s="6"/>
      <c r="T64" s="6"/>
      <c r="U64" s="6"/>
      <c r="V64" s="6"/>
      <c r="W64" s="6"/>
      <c r="X64" s="6"/>
      <c r="Y64" s="6"/>
      <c r="Z64" s="6"/>
    </row>
    <row r="65" spans="1:26" ht="15.75" customHeight="1">
      <c r="A65" s="75"/>
      <c r="B65" s="8"/>
      <c r="C65" s="8"/>
      <c r="D65" s="8"/>
      <c r="E65" s="8"/>
      <c r="F65" s="8"/>
      <c r="G65" s="44"/>
      <c r="H65" s="72"/>
      <c r="I65" s="72"/>
      <c r="J65" s="68"/>
      <c r="K65" s="6"/>
      <c r="L65" s="6"/>
      <c r="M65" s="6"/>
      <c r="N65" s="6"/>
      <c r="O65" s="6"/>
      <c r="P65" s="6"/>
      <c r="Q65" s="6"/>
      <c r="R65" s="6"/>
      <c r="S65" s="6"/>
      <c r="T65" s="6"/>
      <c r="U65" s="6"/>
      <c r="V65" s="6"/>
      <c r="W65" s="6"/>
      <c r="X65" s="6"/>
      <c r="Y65" s="6"/>
      <c r="Z65" s="6"/>
    </row>
    <row r="66" spans="1:26" ht="15.75" customHeight="1">
      <c r="A66" s="75"/>
      <c r="B66" s="8"/>
      <c r="C66" s="8"/>
      <c r="D66" s="8"/>
      <c r="E66" s="8"/>
      <c r="F66" s="8"/>
      <c r="G66" s="44"/>
      <c r="H66" s="72"/>
      <c r="I66" s="72"/>
      <c r="J66" s="68"/>
      <c r="K66" s="6"/>
      <c r="L66" s="6"/>
      <c r="M66" s="6"/>
      <c r="N66" s="6"/>
      <c r="O66" s="6"/>
      <c r="P66" s="6"/>
      <c r="Q66" s="6"/>
      <c r="R66" s="6"/>
      <c r="S66" s="6"/>
      <c r="T66" s="6"/>
      <c r="U66" s="6"/>
      <c r="V66" s="6"/>
      <c r="W66" s="6"/>
      <c r="X66" s="6"/>
      <c r="Y66" s="6"/>
      <c r="Z66" s="6"/>
    </row>
    <row r="67" spans="1:26" ht="15.75" customHeight="1">
      <c r="A67" s="75"/>
      <c r="B67" s="8"/>
      <c r="C67" s="8"/>
      <c r="D67" s="8"/>
      <c r="E67" s="8"/>
      <c r="F67" s="8"/>
      <c r="G67" s="44"/>
      <c r="H67" s="72"/>
      <c r="I67" s="72"/>
      <c r="J67" s="68"/>
      <c r="K67" s="6"/>
      <c r="L67" s="6"/>
      <c r="M67" s="6"/>
      <c r="N67" s="6"/>
      <c r="O67" s="6"/>
      <c r="P67" s="6"/>
      <c r="Q67" s="6"/>
      <c r="R67" s="6"/>
      <c r="S67" s="6"/>
      <c r="T67" s="6"/>
      <c r="U67" s="6"/>
      <c r="V67" s="6"/>
      <c r="W67" s="6"/>
      <c r="X67" s="6"/>
      <c r="Y67" s="6"/>
      <c r="Z67" s="6"/>
    </row>
    <row r="68" spans="1:26" ht="15.75" customHeight="1">
      <c r="A68" s="75"/>
      <c r="B68" s="8"/>
      <c r="C68" s="8"/>
      <c r="D68" s="8"/>
      <c r="E68" s="8"/>
      <c r="F68" s="8"/>
      <c r="G68" s="44"/>
      <c r="H68" s="72"/>
      <c r="I68" s="72"/>
      <c r="J68" s="68"/>
      <c r="K68" s="6"/>
      <c r="L68" s="6"/>
      <c r="M68" s="6"/>
      <c r="N68" s="6"/>
      <c r="O68" s="6"/>
      <c r="P68" s="6"/>
      <c r="Q68" s="6"/>
      <c r="R68" s="6"/>
      <c r="S68" s="6"/>
      <c r="T68" s="6"/>
      <c r="U68" s="6"/>
      <c r="V68" s="6"/>
      <c r="W68" s="6"/>
      <c r="X68" s="6"/>
      <c r="Y68" s="6"/>
      <c r="Z68" s="6"/>
    </row>
    <row r="69" spans="1:26" ht="15.75" customHeight="1">
      <c r="A69" s="75"/>
      <c r="B69" s="8"/>
      <c r="C69" s="8"/>
      <c r="D69" s="8"/>
      <c r="E69" s="8"/>
      <c r="F69" s="8"/>
      <c r="G69" s="44"/>
      <c r="H69" s="72"/>
      <c r="I69" s="72"/>
      <c r="J69" s="68"/>
      <c r="K69" s="6"/>
      <c r="L69" s="6"/>
      <c r="M69" s="6"/>
      <c r="N69" s="6"/>
      <c r="O69" s="6"/>
      <c r="P69" s="6"/>
      <c r="Q69" s="6"/>
      <c r="R69" s="6"/>
      <c r="S69" s="6"/>
      <c r="T69" s="6"/>
      <c r="U69" s="6"/>
      <c r="V69" s="6"/>
      <c r="W69" s="6"/>
      <c r="X69" s="6"/>
      <c r="Y69" s="6"/>
      <c r="Z69" s="6"/>
    </row>
    <row r="70" spans="1:26" ht="15.75" customHeight="1">
      <c r="A70" s="75"/>
      <c r="B70" s="8"/>
      <c r="C70" s="8"/>
      <c r="D70" s="8"/>
      <c r="E70" s="8"/>
      <c r="F70" s="8"/>
      <c r="G70" s="44"/>
      <c r="H70" s="72"/>
      <c r="I70" s="72"/>
      <c r="J70" s="68"/>
      <c r="K70" s="6"/>
      <c r="L70" s="6"/>
      <c r="M70" s="6"/>
      <c r="N70" s="6"/>
      <c r="O70" s="6"/>
      <c r="P70" s="6"/>
      <c r="Q70" s="6"/>
      <c r="R70" s="6"/>
      <c r="S70" s="6"/>
      <c r="T70" s="6"/>
      <c r="U70" s="6"/>
      <c r="V70" s="6"/>
      <c r="W70" s="6"/>
      <c r="X70" s="6"/>
      <c r="Y70" s="6"/>
      <c r="Z70" s="6"/>
    </row>
    <row r="71" spans="1:26" ht="15.75" customHeight="1">
      <c r="A71" s="75"/>
      <c r="B71" s="8"/>
      <c r="C71" s="8"/>
      <c r="D71" s="8"/>
      <c r="E71" s="8"/>
      <c r="F71" s="8"/>
      <c r="G71" s="44"/>
      <c r="H71" s="72"/>
      <c r="I71" s="72"/>
      <c r="J71" s="68"/>
      <c r="K71" s="6"/>
      <c r="L71" s="6"/>
      <c r="M71" s="6"/>
      <c r="N71" s="6"/>
      <c r="O71" s="6"/>
      <c r="P71" s="6"/>
      <c r="Q71" s="6"/>
      <c r="R71" s="6"/>
      <c r="S71" s="6"/>
      <c r="T71" s="6"/>
      <c r="U71" s="6"/>
      <c r="V71" s="6"/>
      <c r="W71" s="6"/>
      <c r="X71" s="6"/>
      <c r="Y71" s="6"/>
      <c r="Z71" s="6"/>
    </row>
    <row r="72" spans="1:26" ht="15.75" customHeight="1">
      <c r="A72" s="75"/>
      <c r="B72" s="8"/>
      <c r="C72" s="8"/>
      <c r="D72" s="8"/>
      <c r="E72" s="8"/>
      <c r="F72" s="8"/>
      <c r="G72" s="44"/>
      <c r="H72" s="72"/>
      <c r="I72" s="72"/>
      <c r="J72" s="68"/>
      <c r="K72" s="6"/>
      <c r="L72" s="6"/>
      <c r="M72" s="6"/>
      <c r="N72" s="6"/>
      <c r="O72" s="6"/>
      <c r="P72" s="6"/>
      <c r="Q72" s="6"/>
      <c r="R72" s="6"/>
      <c r="S72" s="6"/>
      <c r="T72" s="6"/>
      <c r="U72" s="6"/>
      <c r="V72" s="6"/>
      <c r="W72" s="6"/>
      <c r="X72" s="6"/>
      <c r="Y72" s="6"/>
      <c r="Z72" s="6"/>
    </row>
    <row r="73" spans="1:26" ht="15.75" customHeight="1">
      <c r="A73" s="75"/>
      <c r="B73" s="8"/>
      <c r="C73" s="8"/>
      <c r="D73" s="8"/>
      <c r="E73" s="8"/>
      <c r="F73" s="8"/>
      <c r="G73" s="44"/>
      <c r="H73" s="72"/>
      <c r="I73" s="72"/>
      <c r="J73" s="68"/>
      <c r="K73" s="6"/>
      <c r="L73" s="6"/>
      <c r="M73" s="6"/>
      <c r="N73" s="6"/>
      <c r="O73" s="6"/>
      <c r="P73" s="6"/>
      <c r="Q73" s="6"/>
      <c r="R73" s="6"/>
      <c r="S73" s="6"/>
      <c r="T73" s="6"/>
      <c r="U73" s="6"/>
      <c r="V73" s="6"/>
      <c r="W73" s="6"/>
      <c r="X73" s="6"/>
      <c r="Y73" s="6"/>
      <c r="Z73" s="6"/>
    </row>
    <row r="74" spans="1:26" ht="15.75" customHeight="1">
      <c r="A74" s="75"/>
      <c r="B74" s="8"/>
      <c r="C74" s="8"/>
      <c r="D74" s="8"/>
      <c r="E74" s="8"/>
      <c r="F74" s="8"/>
      <c r="G74" s="44"/>
      <c r="H74" s="72"/>
      <c r="I74" s="72"/>
      <c r="J74" s="68"/>
      <c r="K74" s="6"/>
      <c r="L74" s="6"/>
      <c r="M74" s="6"/>
      <c r="N74" s="6"/>
      <c r="O74" s="6"/>
      <c r="P74" s="6"/>
      <c r="Q74" s="6"/>
      <c r="R74" s="6"/>
      <c r="S74" s="6"/>
      <c r="T74" s="6"/>
      <c r="U74" s="6"/>
      <c r="V74" s="6"/>
      <c r="W74" s="6"/>
      <c r="X74" s="6"/>
      <c r="Y74" s="6"/>
      <c r="Z74" s="6"/>
    </row>
    <row r="75" spans="1:26" ht="15.75" customHeight="1">
      <c r="A75" s="75"/>
      <c r="B75" s="8"/>
      <c r="C75" s="8"/>
      <c r="D75" s="8"/>
      <c r="E75" s="8"/>
      <c r="F75" s="8"/>
      <c r="G75" s="44"/>
      <c r="H75" s="72"/>
      <c r="I75" s="72"/>
      <c r="J75" s="68"/>
      <c r="K75" s="6"/>
      <c r="L75" s="6"/>
      <c r="M75" s="6"/>
      <c r="N75" s="6"/>
      <c r="O75" s="6"/>
      <c r="P75" s="6"/>
      <c r="Q75" s="6"/>
      <c r="R75" s="6"/>
      <c r="S75" s="6"/>
      <c r="T75" s="6"/>
      <c r="U75" s="6"/>
      <c r="V75" s="6"/>
      <c r="W75" s="6"/>
      <c r="X75" s="6"/>
      <c r="Y75" s="6"/>
      <c r="Z75" s="6"/>
    </row>
    <row r="76" spans="1:26" ht="15.75" customHeight="1">
      <c r="A76" s="75"/>
      <c r="B76" s="8"/>
      <c r="C76" s="8"/>
      <c r="D76" s="8"/>
      <c r="E76" s="8"/>
      <c r="F76" s="8"/>
      <c r="G76" s="44"/>
      <c r="H76" s="72"/>
      <c r="I76" s="72"/>
      <c r="J76" s="68"/>
      <c r="K76" s="6"/>
      <c r="L76" s="6"/>
      <c r="M76" s="6"/>
      <c r="N76" s="6"/>
      <c r="O76" s="6"/>
      <c r="P76" s="6"/>
      <c r="Q76" s="6"/>
      <c r="R76" s="6"/>
      <c r="S76" s="6"/>
      <c r="T76" s="6"/>
      <c r="U76" s="6"/>
      <c r="V76" s="6"/>
      <c r="W76" s="6"/>
      <c r="X76" s="6"/>
      <c r="Y76" s="6"/>
      <c r="Z76" s="6"/>
    </row>
    <row r="77" spans="1:26" ht="15.75" customHeight="1">
      <c r="A77" s="75"/>
      <c r="B77" s="8"/>
      <c r="C77" s="8"/>
      <c r="D77" s="8"/>
      <c r="E77" s="8"/>
      <c r="F77" s="8"/>
      <c r="G77" s="44"/>
      <c r="H77" s="72"/>
      <c r="I77" s="72"/>
      <c r="J77" s="68"/>
      <c r="K77" s="6"/>
      <c r="L77" s="6"/>
      <c r="M77" s="6"/>
      <c r="N77" s="6"/>
      <c r="O77" s="6"/>
      <c r="P77" s="6"/>
      <c r="Q77" s="6"/>
      <c r="R77" s="6"/>
      <c r="S77" s="6"/>
      <c r="T77" s="6"/>
      <c r="U77" s="6"/>
      <c r="V77" s="6"/>
      <c r="W77" s="6"/>
      <c r="X77" s="6"/>
      <c r="Y77" s="6"/>
      <c r="Z77" s="6"/>
    </row>
    <row r="78" spans="1:26" ht="15.75" customHeight="1">
      <c r="A78" s="75"/>
      <c r="B78" s="8"/>
      <c r="C78" s="8"/>
      <c r="D78" s="8"/>
      <c r="E78" s="8"/>
      <c r="F78" s="8"/>
      <c r="G78" s="44"/>
      <c r="H78" s="72"/>
      <c r="I78" s="72"/>
      <c r="J78" s="68"/>
      <c r="K78" s="6"/>
      <c r="L78" s="6"/>
      <c r="M78" s="6"/>
      <c r="N78" s="6"/>
      <c r="O78" s="6"/>
      <c r="P78" s="6"/>
      <c r="Q78" s="6"/>
      <c r="R78" s="6"/>
      <c r="S78" s="6"/>
      <c r="T78" s="6"/>
      <c r="U78" s="6"/>
      <c r="V78" s="6"/>
      <c r="W78" s="6"/>
      <c r="X78" s="6"/>
      <c r="Y78" s="6"/>
      <c r="Z78" s="6"/>
    </row>
    <row r="79" spans="1:26" ht="15.75" customHeight="1">
      <c r="A79" s="75"/>
      <c r="B79" s="8"/>
      <c r="C79" s="8"/>
      <c r="D79" s="8"/>
      <c r="E79" s="8"/>
      <c r="F79" s="8"/>
      <c r="G79" s="44"/>
      <c r="H79" s="72"/>
      <c r="I79" s="72"/>
      <c r="J79" s="68"/>
      <c r="K79" s="6"/>
      <c r="L79" s="6"/>
      <c r="M79" s="6"/>
      <c r="N79" s="6"/>
      <c r="O79" s="6"/>
      <c r="P79" s="6"/>
      <c r="Q79" s="6"/>
      <c r="R79" s="6"/>
      <c r="S79" s="6"/>
      <c r="T79" s="6"/>
      <c r="U79" s="6"/>
      <c r="V79" s="6"/>
      <c r="W79" s="6"/>
      <c r="X79" s="6"/>
      <c r="Y79" s="6"/>
      <c r="Z79" s="6"/>
    </row>
    <row r="80" spans="1:26" ht="15.75" customHeight="1">
      <c r="A80" s="75"/>
      <c r="B80" s="8"/>
      <c r="C80" s="8"/>
      <c r="D80" s="8"/>
      <c r="E80" s="8"/>
      <c r="F80" s="8"/>
      <c r="G80" s="44"/>
      <c r="H80" s="72"/>
      <c r="I80" s="72"/>
      <c r="J80" s="68"/>
      <c r="K80" s="6"/>
      <c r="L80" s="6"/>
      <c r="M80" s="6"/>
      <c r="N80" s="6"/>
      <c r="O80" s="6"/>
      <c r="P80" s="6"/>
      <c r="Q80" s="6"/>
      <c r="R80" s="6"/>
      <c r="S80" s="6"/>
      <c r="T80" s="6"/>
      <c r="U80" s="6"/>
      <c r="V80" s="6"/>
      <c r="W80" s="6"/>
      <c r="X80" s="6"/>
      <c r="Y80" s="6"/>
      <c r="Z80" s="6"/>
    </row>
    <row r="81" spans="1:26" ht="15.75" customHeight="1">
      <c r="A81" s="75"/>
      <c r="B81" s="8"/>
      <c r="C81" s="8"/>
      <c r="D81" s="8"/>
      <c r="E81" s="8"/>
      <c r="F81" s="8"/>
      <c r="G81" s="44"/>
      <c r="H81" s="72"/>
      <c r="I81" s="72"/>
      <c r="J81" s="68"/>
      <c r="K81" s="6"/>
      <c r="L81" s="6"/>
      <c r="M81" s="6"/>
      <c r="N81" s="6"/>
      <c r="O81" s="6"/>
      <c r="P81" s="6"/>
      <c r="Q81" s="6"/>
      <c r="R81" s="6"/>
      <c r="S81" s="6"/>
      <c r="T81" s="6"/>
      <c r="U81" s="6"/>
      <c r="V81" s="6"/>
      <c r="W81" s="6"/>
      <c r="X81" s="6"/>
      <c r="Y81" s="6"/>
      <c r="Z81" s="6"/>
    </row>
    <row r="82" spans="1:26" ht="15.75" customHeight="1">
      <c r="A82" s="75"/>
      <c r="B82" s="8"/>
      <c r="C82" s="8"/>
      <c r="D82" s="8"/>
      <c r="E82" s="8"/>
      <c r="F82" s="8"/>
      <c r="G82" s="44"/>
      <c r="H82" s="72"/>
      <c r="I82" s="72"/>
      <c r="J82" s="68"/>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76" t="s">
        <v>188</v>
      </c>
      <c r="J83" s="77">
        <f>SUM(J17:J82)</f>
        <v>3600</v>
      </c>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584" t="s">
        <v>189</v>
      </c>
      <c r="B85" s="516"/>
      <c r="C85" s="516"/>
      <c r="D85" s="516"/>
      <c r="E85" s="516"/>
      <c r="F85" s="517"/>
      <c r="G85" s="6"/>
      <c r="H85" s="6"/>
      <c r="I85" s="6"/>
      <c r="J85" s="6"/>
      <c r="K85" s="6"/>
      <c r="L85" s="6"/>
      <c r="M85" s="6"/>
      <c r="N85" s="6"/>
      <c r="O85" s="6"/>
      <c r="P85" s="6"/>
      <c r="Q85" s="6"/>
      <c r="R85" s="6"/>
      <c r="S85" s="6"/>
      <c r="T85" s="6"/>
      <c r="U85" s="6"/>
      <c r="V85" s="6"/>
      <c r="W85" s="6"/>
      <c r="X85" s="6"/>
      <c r="Y85" s="6"/>
      <c r="Z85" s="6"/>
    </row>
    <row r="86" spans="1:26" ht="4.5" customHeight="1">
      <c r="A86" s="6"/>
      <c r="B86" s="1"/>
      <c r="C86" s="1"/>
      <c r="D86" s="1"/>
      <c r="E86" s="1"/>
      <c r="F86" s="1"/>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thickBo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thickBot="1">
      <c r="A90" s="6"/>
      <c r="B90" s="6"/>
      <c r="C90" s="6"/>
      <c r="D90" s="6"/>
      <c r="E90" s="6"/>
      <c r="F90" s="6"/>
      <c r="G90" s="593" t="s">
        <v>190</v>
      </c>
      <c r="H90" s="594"/>
      <c r="I90" s="79" t="s">
        <v>191</v>
      </c>
      <c r="J90" s="80" t="s">
        <v>192</v>
      </c>
      <c r="K90" s="6"/>
      <c r="L90" s="6"/>
      <c r="M90" s="6"/>
      <c r="N90" s="6"/>
      <c r="O90" s="6"/>
      <c r="P90" s="6"/>
      <c r="Q90" s="6"/>
      <c r="R90" s="6"/>
      <c r="S90" s="6"/>
      <c r="T90" s="6"/>
      <c r="U90" s="6"/>
      <c r="V90" s="6"/>
      <c r="W90" s="6"/>
      <c r="X90" s="6"/>
      <c r="Y90" s="6"/>
      <c r="Z90" s="6"/>
    </row>
    <row r="91" spans="1:26" ht="15.75" customHeight="1">
      <c r="A91" s="6"/>
      <c r="B91" s="6"/>
      <c r="C91" s="6"/>
      <c r="D91" s="6"/>
      <c r="E91" s="6"/>
      <c r="F91" s="6"/>
      <c r="G91" s="595" t="s">
        <v>178</v>
      </c>
      <c r="H91" s="591"/>
      <c r="I91" s="81">
        <v>0</v>
      </c>
      <c r="J91" s="82">
        <f>I91/COUNTA(G17:G82)</f>
        <v>0</v>
      </c>
      <c r="K91" s="6"/>
      <c r="L91" s="6"/>
      <c r="M91" s="6"/>
      <c r="N91" s="6"/>
      <c r="O91" s="6"/>
      <c r="P91" s="6"/>
      <c r="Q91" s="6"/>
      <c r="R91" s="6"/>
      <c r="S91" s="6"/>
      <c r="T91" s="6"/>
      <c r="U91" s="6"/>
      <c r="V91" s="6"/>
      <c r="W91" s="6"/>
      <c r="X91" s="6"/>
      <c r="Y91" s="6"/>
      <c r="Z91" s="6"/>
    </row>
    <row r="92" spans="1:26" ht="15.75" customHeight="1">
      <c r="A92" s="6"/>
      <c r="B92" s="6"/>
      <c r="C92" s="6"/>
      <c r="D92" s="6"/>
      <c r="E92" s="6"/>
      <c r="F92" s="6"/>
      <c r="G92" s="596" t="s">
        <v>177</v>
      </c>
      <c r="H92" s="519"/>
      <c r="I92" s="81">
        <v>1</v>
      </c>
      <c r="J92" s="82">
        <f>I92/COUNTA(G17:G82)</f>
        <v>0.33333333333333331</v>
      </c>
      <c r="K92" s="6"/>
      <c r="L92" s="6"/>
      <c r="M92" s="6"/>
      <c r="N92" s="6"/>
      <c r="O92" s="6"/>
      <c r="P92" s="6"/>
      <c r="Q92" s="6"/>
      <c r="R92" s="6"/>
      <c r="S92" s="6"/>
      <c r="T92" s="6"/>
      <c r="U92" s="6"/>
      <c r="V92" s="6"/>
      <c r="W92" s="6"/>
      <c r="X92" s="6"/>
      <c r="Y92" s="6"/>
      <c r="Z92" s="6"/>
    </row>
    <row r="93" spans="1:26" ht="15.75" customHeight="1">
      <c r="A93" s="6"/>
      <c r="B93" s="6"/>
      <c r="C93" s="6"/>
      <c r="D93" s="6"/>
      <c r="E93" s="6"/>
      <c r="F93" s="6"/>
      <c r="G93" s="596" t="s">
        <v>180</v>
      </c>
      <c r="H93" s="519"/>
      <c r="I93" s="81">
        <v>0</v>
      </c>
      <c r="J93" s="82">
        <f>I93/COUNTA(G17:G82)</f>
        <v>0</v>
      </c>
      <c r="K93" s="6"/>
      <c r="L93" s="6"/>
      <c r="M93" s="6"/>
      <c r="N93" s="6"/>
      <c r="O93" s="6"/>
      <c r="P93" s="6"/>
      <c r="Q93" s="6"/>
      <c r="R93" s="6"/>
      <c r="S93" s="6"/>
      <c r="T93" s="6"/>
      <c r="U93" s="6"/>
      <c r="V93" s="6"/>
      <c r="W93" s="6"/>
      <c r="X93" s="6"/>
      <c r="Y93" s="6"/>
      <c r="Z93" s="6"/>
    </row>
    <row r="94" spans="1:26" ht="15.75" customHeight="1">
      <c r="A94" s="6"/>
      <c r="B94" s="6"/>
      <c r="C94" s="6"/>
      <c r="D94" s="6"/>
      <c r="E94" s="6"/>
      <c r="F94" s="6"/>
      <c r="G94" s="596" t="s">
        <v>193</v>
      </c>
      <c r="H94" s="519"/>
      <c r="I94" s="81">
        <v>0</v>
      </c>
      <c r="J94" s="82">
        <f>I94/COUNTA(G17:G82)</f>
        <v>0</v>
      </c>
      <c r="K94" s="6"/>
      <c r="L94" s="6"/>
      <c r="M94" s="6"/>
      <c r="N94" s="6"/>
      <c r="O94" s="6"/>
      <c r="P94" s="6"/>
      <c r="Q94" s="6"/>
      <c r="R94" s="6"/>
      <c r="S94" s="6"/>
      <c r="T94" s="6"/>
      <c r="U94" s="6"/>
      <c r="V94" s="6"/>
      <c r="W94" s="6"/>
      <c r="X94" s="6"/>
      <c r="Y94" s="6"/>
      <c r="Z94" s="6"/>
    </row>
    <row r="95" spans="1:26" ht="15.75" customHeight="1">
      <c r="A95" s="6"/>
      <c r="B95" s="6"/>
      <c r="C95" s="6"/>
      <c r="D95" s="6"/>
      <c r="E95" s="6"/>
      <c r="F95" s="6"/>
      <c r="G95" s="596" t="s">
        <v>181</v>
      </c>
      <c r="H95" s="519"/>
      <c r="I95" s="81">
        <v>1</v>
      </c>
      <c r="J95" s="82">
        <f>I95/COUNTA(G17:G82)</f>
        <v>0.33333333333333331</v>
      </c>
      <c r="K95" s="6"/>
      <c r="L95" s="6"/>
      <c r="M95" s="6"/>
      <c r="N95" s="6"/>
      <c r="O95" s="6"/>
      <c r="P95" s="6"/>
      <c r="Q95" s="6"/>
      <c r="R95" s="6"/>
      <c r="S95" s="6"/>
      <c r="T95" s="6"/>
      <c r="U95" s="6"/>
      <c r="V95" s="6"/>
      <c r="W95" s="6"/>
      <c r="X95" s="6"/>
      <c r="Y95" s="6"/>
      <c r="Z95" s="6"/>
    </row>
    <row r="96" spans="1:26" ht="15.75" customHeight="1">
      <c r="A96" s="6"/>
      <c r="B96" s="6"/>
      <c r="C96" s="6"/>
      <c r="D96" s="6"/>
      <c r="E96" s="6"/>
      <c r="F96" s="6"/>
      <c r="G96" s="596" t="s">
        <v>194</v>
      </c>
      <c r="H96" s="519"/>
      <c r="I96" s="81">
        <v>0</v>
      </c>
      <c r="J96" s="82">
        <f>I96/COUNTA(G17:G82)</f>
        <v>0</v>
      </c>
      <c r="K96" s="6"/>
      <c r="L96" s="6"/>
      <c r="M96" s="6"/>
      <c r="N96" s="6"/>
      <c r="O96" s="6"/>
      <c r="P96" s="6"/>
      <c r="Q96" s="6"/>
      <c r="R96" s="6"/>
      <c r="S96" s="6"/>
      <c r="T96" s="6"/>
      <c r="U96" s="6"/>
      <c r="V96" s="6"/>
      <c r="W96" s="6"/>
      <c r="X96" s="6"/>
      <c r="Y96" s="6"/>
      <c r="Z96" s="6"/>
    </row>
    <row r="97" spans="1:26" ht="15.75" customHeight="1">
      <c r="A97" s="6"/>
      <c r="B97" s="6"/>
      <c r="C97" s="6"/>
      <c r="D97" s="6"/>
      <c r="E97" s="6"/>
      <c r="F97" s="6"/>
      <c r="G97" s="596" t="s">
        <v>184</v>
      </c>
      <c r="H97" s="519"/>
      <c r="I97" s="81">
        <v>0</v>
      </c>
      <c r="J97" s="82">
        <f>I97/COUNTA(G17:G82)</f>
        <v>0</v>
      </c>
      <c r="K97" s="6"/>
      <c r="L97" s="6"/>
      <c r="M97" s="6"/>
      <c r="N97" s="6"/>
      <c r="O97" s="6"/>
      <c r="P97" s="6"/>
      <c r="Q97" s="6"/>
      <c r="R97" s="6"/>
      <c r="S97" s="6"/>
      <c r="T97" s="6"/>
      <c r="U97" s="6"/>
      <c r="V97" s="6"/>
      <c r="W97" s="6"/>
      <c r="X97" s="6"/>
      <c r="Y97" s="6"/>
      <c r="Z97" s="6"/>
    </row>
    <row r="98" spans="1:26" ht="15.75" customHeight="1">
      <c r="A98" s="6"/>
      <c r="B98" s="6"/>
      <c r="C98" s="6"/>
      <c r="D98" s="6"/>
      <c r="E98" s="6"/>
      <c r="F98" s="6"/>
      <c r="G98" s="596" t="s">
        <v>179</v>
      </c>
      <c r="H98" s="519"/>
      <c r="I98" s="81">
        <v>0</v>
      </c>
      <c r="J98" s="82">
        <f>I98/COUNTA(G17:G82)</f>
        <v>0</v>
      </c>
      <c r="K98" s="6"/>
      <c r="L98" s="6"/>
      <c r="M98" s="6"/>
      <c r="N98" s="6"/>
      <c r="O98" s="6"/>
      <c r="P98" s="6"/>
      <c r="Q98" s="6"/>
      <c r="R98" s="6"/>
      <c r="S98" s="6"/>
      <c r="T98" s="6"/>
      <c r="U98" s="6"/>
      <c r="V98" s="6"/>
      <c r="W98" s="6"/>
      <c r="X98" s="6"/>
      <c r="Y98" s="6"/>
      <c r="Z98" s="6"/>
    </row>
    <row r="99" spans="1:26" ht="15.75" customHeight="1">
      <c r="A99" s="6"/>
      <c r="B99" s="6"/>
      <c r="C99" s="6"/>
      <c r="D99" s="6"/>
      <c r="E99" s="6"/>
      <c r="F99" s="6"/>
      <c r="G99" s="596" t="s">
        <v>186</v>
      </c>
      <c r="H99" s="519"/>
      <c r="I99" s="81">
        <v>1</v>
      </c>
      <c r="J99" s="82">
        <f>I99/COUNTA(G17:G82)</f>
        <v>0.33333333333333331</v>
      </c>
      <c r="K99" s="6"/>
      <c r="L99" s="6"/>
      <c r="M99" s="6"/>
      <c r="N99" s="6"/>
      <c r="O99" s="6"/>
      <c r="P99" s="6"/>
      <c r="Q99" s="6"/>
      <c r="R99" s="6"/>
      <c r="S99" s="6"/>
      <c r="T99" s="6"/>
      <c r="U99" s="6"/>
      <c r="V99" s="6"/>
      <c r="W99" s="6"/>
      <c r="X99" s="6"/>
      <c r="Y99" s="6"/>
      <c r="Z99" s="6"/>
    </row>
    <row r="100" spans="1:26" ht="15.75" customHeight="1" thickBot="1">
      <c r="A100" s="6"/>
      <c r="B100" s="6"/>
      <c r="C100" s="6"/>
      <c r="D100" s="6"/>
      <c r="E100" s="6"/>
      <c r="F100" s="6"/>
      <c r="G100" s="597" t="s">
        <v>187</v>
      </c>
      <c r="H100" s="598"/>
      <c r="I100" s="83">
        <v>0</v>
      </c>
      <c r="J100" s="84">
        <f>I100/COUNTA(G17:G82)</f>
        <v>0</v>
      </c>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85"/>
      <c r="H101" s="85"/>
      <c r="I101" s="6"/>
      <c r="J101" s="8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593" t="s">
        <v>190</v>
      </c>
      <c r="H109" s="594"/>
      <c r="I109" s="79" t="s">
        <v>195</v>
      </c>
      <c r="J109" s="80" t="s">
        <v>192</v>
      </c>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595" t="s">
        <v>178</v>
      </c>
      <c r="H110" s="591"/>
      <c r="I110" s="81">
        <f>SUMIF(G17:G82,"Voiture essence",J17:J82)</f>
        <v>0</v>
      </c>
      <c r="J110" s="82">
        <f>I110/J83</f>
        <v>0</v>
      </c>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596" t="s">
        <v>177</v>
      </c>
      <c r="H111" s="519"/>
      <c r="I111" s="8">
        <f>SUMIF(G17:G82,"Voiture diesel",J17:J82)</f>
        <v>2500</v>
      </c>
      <c r="J111" s="87">
        <f>I111/J83</f>
        <v>0.69444444444444442</v>
      </c>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596" t="s">
        <v>180</v>
      </c>
      <c r="H112" s="519"/>
      <c r="I112" s="8">
        <f>SUMIF(G17:G82,"Voiture hybride",J17:J82)</f>
        <v>0</v>
      </c>
      <c r="J112" s="87">
        <f>I112/J83</f>
        <v>0</v>
      </c>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596" t="s">
        <v>193</v>
      </c>
      <c r="H113" s="519"/>
      <c r="I113" s="8">
        <f>SUMIF(G17:G82,"Voiture électrique",J17:J82)</f>
        <v>0</v>
      </c>
      <c r="J113" s="87">
        <f>I113/J83</f>
        <v>0</v>
      </c>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596" t="s">
        <v>181</v>
      </c>
      <c r="H114" s="519"/>
      <c r="I114" s="8">
        <f>SUMIF(G17:G82,"Minibus / Van",J17:J82)</f>
        <v>1000</v>
      </c>
      <c r="J114" s="87">
        <f>I114/J83</f>
        <v>0.27777777777777779</v>
      </c>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596" t="s">
        <v>194</v>
      </c>
      <c r="H115" s="519"/>
      <c r="I115" s="8">
        <f>SUMIF(G17:G82,"Moto &gt;250cc",J17:J82)</f>
        <v>0</v>
      </c>
      <c r="J115" s="87">
        <f>I115/J83</f>
        <v>0</v>
      </c>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596" t="s">
        <v>184</v>
      </c>
      <c r="H116" s="519"/>
      <c r="I116" s="8">
        <f>SUMIF(G17:G82,"Scooter essence",J17:J82)</f>
        <v>0</v>
      </c>
      <c r="J116" s="87">
        <f>I116/J83</f>
        <v>0</v>
      </c>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596" t="s">
        <v>179</v>
      </c>
      <c r="H117" s="519"/>
      <c r="I117" s="8">
        <f>SUMIF(G17:G82,"Scooter électrique",J17:J82)</f>
        <v>0</v>
      </c>
      <c r="J117" s="87">
        <f>I117/J83</f>
        <v>0</v>
      </c>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596" t="s">
        <v>186</v>
      </c>
      <c r="H118" s="519"/>
      <c r="I118" s="8">
        <f>SUMIF(G17:G82,"Taxi",J17:J82)</f>
        <v>100</v>
      </c>
      <c r="J118" s="87">
        <f>I118/J83</f>
        <v>2.7777777777777776E-2</v>
      </c>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597" t="s">
        <v>187</v>
      </c>
      <c r="H119" s="598"/>
      <c r="I119" s="88">
        <f>SUMIF(G17:G82,"Bus",J17:J82)</f>
        <v>0</v>
      </c>
      <c r="J119" s="89">
        <f>I119/J83</f>
        <v>0</v>
      </c>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593" t="s">
        <v>196</v>
      </c>
      <c r="I123" s="516"/>
      <c r="J123" s="517"/>
      <c r="K123" s="60"/>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90" t="s">
        <v>139</v>
      </c>
      <c r="I124" s="91" t="s">
        <v>148</v>
      </c>
      <c r="J124" s="92" t="s">
        <v>197</v>
      </c>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93" t="s">
        <v>178</v>
      </c>
      <c r="H125" s="94">
        <f>SUMIF(G17:G38,"Voiture essence",J17:J38)</f>
        <v>0</v>
      </c>
      <c r="I125" s="94">
        <f>SUMIF(G42:G57,"Voiture essence",J42:J57)</f>
        <v>0</v>
      </c>
      <c r="J125" s="95">
        <f>SUMIF(G61:G82,"Voiture essence",J61:J82)</f>
        <v>0</v>
      </c>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96" t="s">
        <v>177</v>
      </c>
      <c r="H126" s="8">
        <f>SUMIF(G17:G38,"Voiture diesel",J17:J38)</f>
        <v>2500</v>
      </c>
      <c r="I126" s="8">
        <f>SUMIF(G42:G57,"Voiture diesel",J42:J57)</f>
        <v>0</v>
      </c>
      <c r="J126" s="97">
        <f>SUMIF(G61:G82,"Voiture diesel",J61:J82)</f>
        <v>0</v>
      </c>
      <c r="K126" s="12"/>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96" t="s">
        <v>180</v>
      </c>
      <c r="H127" s="8">
        <f>SUMIF(G17:G38,"Voiture hybride",J17:J38)</f>
        <v>0</v>
      </c>
      <c r="I127" s="81">
        <f>SUMIF(G42:G57,"Voiture hybride",J42:J57)</f>
        <v>0</v>
      </c>
      <c r="J127" s="97">
        <f>SUMIF(G61:G82,"Voiture hybride",J61:J82)</f>
        <v>0</v>
      </c>
      <c r="K127" s="12"/>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96" t="s">
        <v>193</v>
      </c>
      <c r="H128" s="8">
        <f>SUMIF(G17:G38,"Voiture électrique",J17:J38)</f>
        <v>0</v>
      </c>
      <c r="I128" s="8">
        <f>SUMIF(G42:G57,"Voiture électrique",J42:J57)</f>
        <v>0</v>
      </c>
      <c r="J128" s="97">
        <f>SUMIF(G61:G82,"Voiture électrique",J61:J82)</f>
        <v>0</v>
      </c>
      <c r="K128" s="12"/>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96" t="s">
        <v>181</v>
      </c>
      <c r="H129" s="8">
        <f>SUMIF(G17:G38,"Minibus / Van",J17:J38)</f>
        <v>0</v>
      </c>
      <c r="I129" s="8">
        <f>SUMIF(G42:G57,"Minibus / Van",J42:J57)</f>
        <v>1000</v>
      </c>
      <c r="J129" s="97">
        <f>SUMIF(G61:G82,"Minibus / Van",J61:J82)</f>
        <v>0</v>
      </c>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96" t="s">
        <v>194</v>
      </c>
      <c r="H130" s="8">
        <f>SUMIF(G17:G38,"Moto &gt;250cc",J17:J38)</f>
        <v>0</v>
      </c>
      <c r="I130" s="8">
        <f>SUMIF(G42:G57,"Moto &gt;250cc",J42:J57)</f>
        <v>0</v>
      </c>
      <c r="J130" s="97">
        <f>SUMIF(G61:G82,"Moto &gt;250cc",J61:J82)</f>
        <v>0</v>
      </c>
      <c r="K130" s="12"/>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96" t="s">
        <v>184</v>
      </c>
      <c r="H131" s="8">
        <f>SUMIF(G17:G38,"Scooter essence",J17:J38)</f>
        <v>0</v>
      </c>
      <c r="I131" s="8">
        <f>SUMIF(G42:G57,"Scooter essence",J42:J57)</f>
        <v>0</v>
      </c>
      <c r="J131" s="97">
        <f>SUMIF(G61:G82,"Scooter essence",J61:J82)</f>
        <v>0</v>
      </c>
      <c r="K131" s="12"/>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96" t="s">
        <v>179</v>
      </c>
      <c r="H132" s="8">
        <f>SUMIF(G17:G38,"Scooter électrique",J17:J38)</f>
        <v>0</v>
      </c>
      <c r="I132" s="8">
        <f>SUMIF(G42:G57,"Scooter électrique",J42:J57)</f>
        <v>0</v>
      </c>
      <c r="J132" s="97">
        <f>SUMIF(G61:G82,"Scooter électrique",J61:J82)</f>
        <v>0</v>
      </c>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96" t="s">
        <v>186</v>
      </c>
      <c r="H133" s="8">
        <f>SUMIF(G17:G38,"Taxi",J17:J38)</f>
        <v>0</v>
      </c>
      <c r="I133" s="8">
        <f>SUMIF(G42:G57,"Taxi",J42:J57)</f>
        <v>0</v>
      </c>
      <c r="J133" s="97">
        <f>SUMIF(G61:G82,"Taxi",J61:J82)</f>
        <v>100</v>
      </c>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98" t="s">
        <v>187</v>
      </c>
      <c r="H134" s="88">
        <f>SUMIF(G17:G38,"Bus",J17:J38)</f>
        <v>0</v>
      </c>
      <c r="I134" s="88">
        <f>SUMIF(G42:G57,"Bus",J42:J57)</f>
        <v>0</v>
      </c>
      <c r="J134" s="99">
        <f>SUMIF(G61:G82,"Bus",J61:J82)</f>
        <v>0</v>
      </c>
      <c r="K134" s="60"/>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12"/>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12"/>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12"/>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sheetData>
  <mergeCells count="31">
    <mergeCell ref="G110:H110"/>
    <mergeCell ref="G118:H118"/>
    <mergeCell ref="G119:H119"/>
    <mergeCell ref="H123:J123"/>
    <mergeCell ref="G111:H111"/>
    <mergeCell ref="G112:H112"/>
    <mergeCell ref="G113:H113"/>
    <mergeCell ref="G114:H114"/>
    <mergeCell ref="G115:H115"/>
    <mergeCell ref="G116:H116"/>
    <mergeCell ref="G117:H117"/>
    <mergeCell ref="G97:H97"/>
    <mergeCell ref="G98:H98"/>
    <mergeCell ref="G99:H99"/>
    <mergeCell ref="G100:H100"/>
    <mergeCell ref="G109:H109"/>
    <mergeCell ref="G92:H92"/>
    <mergeCell ref="G93:H93"/>
    <mergeCell ref="G94:H94"/>
    <mergeCell ref="G95:H95"/>
    <mergeCell ref="G96:H96"/>
    <mergeCell ref="B40:F40"/>
    <mergeCell ref="B59:F59"/>
    <mergeCell ref="A85:F85"/>
    <mergeCell ref="G90:H90"/>
    <mergeCell ref="G91:H91"/>
    <mergeCell ref="A2:F2"/>
    <mergeCell ref="A4:F4"/>
    <mergeCell ref="C6:E6"/>
    <mergeCell ref="C7:E7"/>
    <mergeCell ref="B15:F15"/>
  </mergeCells>
  <pageMargins left="0.75" right="0.75" top="1" bottom="1"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Données!$H$5:$H$14</xm:f>
          </x14:formula1>
          <xm:sqref>G17:G38 G42:G57 G61:G82</xm:sqref>
        </x14:dataValidation>
        <x14:dataValidation type="list" allowBlank="1" showErrorMessage="1" xr:uid="{00000000-0002-0000-0400-000001000000}">
          <x14:formula1>
            <xm:f>Données!$D$37:$D$39</xm:f>
          </x14:formula1>
          <xm:sqref>A17:A38 A42:A57 A61:A82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E598"/>
  </sheetPr>
  <dimension ref="A1:Z1011"/>
  <sheetViews>
    <sheetView zoomScale="75" workbookViewId="0">
      <pane xSplit="6" ySplit="11" topLeftCell="G99" activePane="bottomRight" state="frozen"/>
      <selection pane="topRight" activeCell="G1" sqref="G1"/>
      <selection pane="bottomLeft" activeCell="A12" sqref="A12"/>
      <selection pane="bottomRight" activeCell="F34" sqref="F34"/>
    </sheetView>
  </sheetViews>
  <sheetFormatPr baseColWidth="10" defaultColWidth="11.125" defaultRowHeight="15" customHeight="1"/>
  <cols>
    <col min="1" max="1" width="8.5" customWidth="1"/>
    <col min="2" max="3" width="19.5" customWidth="1"/>
    <col min="4" max="4" width="25.5" customWidth="1"/>
    <col min="5" max="6" width="20.5" customWidth="1"/>
    <col min="7" max="7" width="16.5" customWidth="1"/>
    <col min="8" max="8" width="18.625" customWidth="1"/>
    <col min="9" max="14" width="16.5" customWidth="1"/>
    <col min="15" max="15" width="8" customWidth="1"/>
    <col min="16" max="16" width="10.5" customWidth="1"/>
    <col min="17" max="17" width="9.625" customWidth="1"/>
    <col min="18" max="26" width="8.625" customWidth="1"/>
  </cols>
  <sheetData>
    <row r="1" spans="1:26" ht="15.75" customHeight="1"/>
    <row r="2" spans="1:26" ht="15.75" customHeight="1">
      <c r="A2" s="555" t="s">
        <v>198</v>
      </c>
      <c r="B2" s="516"/>
      <c r="C2" s="516"/>
      <c r="D2" s="516"/>
      <c r="E2" s="516"/>
      <c r="F2" s="517"/>
    </row>
    <row r="3" spans="1:26" ht="15.75" customHeight="1"/>
    <row r="4" spans="1:26" ht="19.5" customHeight="1">
      <c r="C4" s="599" t="s">
        <v>164</v>
      </c>
      <c r="D4" s="600"/>
      <c r="E4" s="598"/>
      <c r="G4" s="6"/>
      <c r="I4" s="6"/>
    </row>
    <row r="5" spans="1:26" ht="19.5" customHeight="1">
      <c r="C5" s="601" t="s">
        <v>165</v>
      </c>
      <c r="D5" s="602"/>
      <c r="E5" s="603"/>
    </row>
    <row r="6" spans="1:26" ht="15.75" customHeight="1">
      <c r="A6" s="6"/>
      <c r="B6" s="6"/>
      <c r="C6" s="6"/>
      <c r="D6" s="6"/>
      <c r="E6" s="6"/>
      <c r="F6" s="6"/>
      <c r="G6" s="6"/>
      <c r="H6" s="6"/>
      <c r="I6" s="6"/>
      <c r="J6" s="6"/>
      <c r="K6" s="6"/>
      <c r="L6" s="6"/>
      <c r="M6" s="6"/>
      <c r="N6" s="6"/>
      <c r="O6" s="6"/>
      <c r="P6" s="6"/>
      <c r="Q6" s="6"/>
      <c r="R6" s="6"/>
      <c r="S6" s="6"/>
      <c r="T6" s="6"/>
      <c r="U6" s="6"/>
      <c r="V6" s="6"/>
      <c r="W6" s="6"/>
      <c r="X6" s="6"/>
      <c r="Y6" s="6"/>
      <c r="Z6" s="6"/>
    </row>
    <row r="7" spans="1:26" ht="15.75" customHeight="1">
      <c r="A7" s="12"/>
      <c r="B7" s="33" t="s">
        <v>111</v>
      </c>
      <c r="C7" s="12"/>
      <c r="D7" s="12"/>
      <c r="E7" s="12"/>
      <c r="F7" s="12"/>
      <c r="G7" s="12"/>
      <c r="H7" s="12"/>
      <c r="I7" s="12"/>
      <c r="J7" s="12"/>
      <c r="K7" s="12"/>
      <c r="L7" s="12"/>
      <c r="M7" s="12"/>
      <c r="N7" s="12"/>
      <c r="O7" s="12"/>
      <c r="P7" s="12"/>
      <c r="Q7" s="12"/>
      <c r="R7" s="12"/>
      <c r="S7" s="12"/>
      <c r="T7" s="12"/>
      <c r="U7" s="12"/>
      <c r="V7" s="12"/>
      <c r="W7" s="12"/>
      <c r="X7" s="12"/>
      <c r="Y7" s="12"/>
      <c r="Z7" s="12"/>
    </row>
    <row r="8" spans="1:26" ht="15.75" customHeight="1">
      <c r="A8" s="12"/>
      <c r="B8" s="34" t="s">
        <v>112</v>
      </c>
      <c r="C8" s="12"/>
      <c r="D8" s="12"/>
      <c r="E8" s="12"/>
      <c r="F8" s="12"/>
      <c r="G8" s="12"/>
      <c r="H8" s="12"/>
      <c r="I8" s="12"/>
      <c r="J8" s="12"/>
      <c r="K8" s="12"/>
      <c r="L8" s="12"/>
      <c r="M8" s="12"/>
      <c r="N8" s="12"/>
      <c r="O8" s="12"/>
      <c r="P8" s="12"/>
      <c r="Q8" s="12"/>
      <c r="R8" s="12"/>
      <c r="S8" s="12"/>
      <c r="T8" s="12"/>
      <c r="U8" s="12"/>
      <c r="V8" s="12"/>
      <c r="W8" s="12"/>
      <c r="X8" s="12"/>
      <c r="Y8" s="12"/>
      <c r="Z8" s="12"/>
    </row>
    <row r="9" spans="1:26" ht="15.75" customHeight="1">
      <c r="A9" s="12"/>
      <c r="B9" s="3" t="s">
        <v>786</v>
      </c>
      <c r="C9" s="12"/>
      <c r="D9" s="12"/>
      <c r="E9" s="12"/>
      <c r="F9" s="12"/>
      <c r="G9" s="12"/>
      <c r="H9" s="12"/>
      <c r="I9" s="12"/>
      <c r="J9" s="12"/>
      <c r="K9" s="12"/>
      <c r="L9" s="12"/>
      <c r="M9" s="12"/>
      <c r="N9" s="12"/>
      <c r="O9" s="12"/>
      <c r="P9" s="12"/>
      <c r="Q9" s="12"/>
      <c r="R9" s="12"/>
      <c r="S9" s="12"/>
      <c r="T9" s="12"/>
      <c r="U9" s="12"/>
      <c r="V9" s="12"/>
      <c r="W9" s="12"/>
      <c r="X9" s="12"/>
      <c r="Y9" s="12"/>
      <c r="Z9" s="12"/>
    </row>
    <row r="10" spans="1:26" ht="15.75" customHeight="1"/>
    <row r="11" spans="1:26" ht="60" customHeight="1">
      <c r="A11" s="61" t="s">
        <v>114</v>
      </c>
      <c r="B11" s="62" t="s">
        <v>199</v>
      </c>
      <c r="C11" s="62" t="s">
        <v>200</v>
      </c>
      <c r="D11" s="62" t="s">
        <v>201</v>
      </c>
      <c r="E11" s="62" t="s">
        <v>169</v>
      </c>
      <c r="F11" s="62" t="s">
        <v>170</v>
      </c>
      <c r="G11" s="62" t="s">
        <v>202</v>
      </c>
      <c r="H11" s="62" t="s">
        <v>171</v>
      </c>
      <c r="I11" s="62" t="s">
        <v>173</v>
      </c>
      <c r="J11" s="62" t="s">
        <v>174</v>
      </c>
      <c r="K11" s="62" t="s">
        <v>203</v>
      </c>
      <c r="L11" s="62" t="s">
        <v>204</v>
      </c>
      <c r="M11" s="62" t="s">
        <v>205</v>
      </c>
      <c r="N11" s="62" t="s">
        <v>206</v>
      </c>
      <c r="O11" s="100"/>
      <c r="P11" s="100"/>
      <c r="Q11" s="100"/>
      <c r="R11" s="100"/>
      <c r="S11" s="100"/>
      <c r="T11" s="100"/>
      <c r="U11" s="100"/>
      <c r="V11" s="100"/>
      <c r="W11" s="100"/>
      <c r="X11" s="100"/>
      <c r="Y11" s="100"/>
      <c r="Z11" s="100"/>
    </row>
    <row r="12" spans="1:26" ht="9" customHeight="1">
      <c r="B12" s="101"/>
      <c r="C12" s="101"/>
    </row>
    <row r="13" spans="1:26" ht="18" customHeight="1">
      <c r="B13" s="604" t="s">
        <v>207</v>
      </c>
      <c r="C13" s="521"/>
      <c r="D13" s="521"/>
      <c r="E13" s="521"/>
      <c r="F13" s="519"/>
      <c r="G13" s="102"/>
    </row>
    <row r="14" spans="1:26" ht="6" customHeight="1">
      <c r="B14" s="103"/>
      <c r="C14" s="103"/>
      <c r="D14" s="4"/>
      <c r="E14" s="4"/>
      <c r="F14" s="4"/>
      <c r="G14" s="4"/>
    </row>
    <row r="15" spans="1:26" ht="15.75" customHeight="1">
      <c r="A15" s="75" t="s">
        <v>136</v>
      </c>
      <c r="B15" s="104" t="s">
        <v>208</v>
      </c>
      <c r="C15" s="104" t="s">
        <v>139</v>
      </c>
      <c r="D15" s="105"/>
      <c r="E15" s="105"/>
      <c r="F15" s="105"/>
      <c r="G15" s="104" t="s">
        <v>211</v>
      </c>
      <c r="H15" s="105"/>
      <c r="I15" s="73"/>
      <c r="J15" s="73"/>
      <c r="K15" s="106"/>
      <c r="L15" s="106"/>
      <c r="M15" s="105"/>
      <c r="N15" s="107">
        <v>1500</v>
      </c>
    </row>
    <row r="16" spans="1:26" ht="15.75" customHeight="1">
      <c r="A16" s="75"/>
      <c r="B16" s="104"/>
      <c r="C16" s="104"/>
      <c r="D16" s="105"/>
      <c r="E16" s="105"/>
      <c r="F16" s="105"/>
      <c r="G16" s="104"/>
      <c r="H16" s="105"/>
      <c r="I16" s="73"/>
      <c r="J16" s="108"/>
      <c r="K16" s="106"/>
      <c r="L16" s="106"/>
      <c r="M16" s="105"/>
      <c r="N16" s="107"/>
    </row>
    <row r="17" spans="1:14" ht="15.75" customHeight="1">
      <c r="A17" s="75"/>
      <c r="B17" s="104"/>
      <c r="C17" s="104"/>
      <c r="D17" s="105"/>
      <c r="E17" s="105"/>
      <c r="F17" s="105"/>
      <c r="G17" s="104"/>
      <c r="H17" s="105"/>
      <c r="I17" s="73"/>
      <c r="J17" s="108"/>
      <c r="K17" s="106"/>
      <c r="L17" s="106"/>
      <c r="M17" s="105"/>
      <c r="N17" s="107"/>
    </row>
    <row r="18" spans="1:14" ht="15.75" customHeight="1">
      <c r="A18" s="75"/>
      <c r="B18" s="104"/>
      <c r="C18" s="104"/>
      <c r="D18" s="105"/>
      <c r="E18" s="105"/>
      <c r="F18" s="105"/>
      <c r="G18" s="104"/>
      <c r="H18" s="105"/>
      <c r="I18" s="73"/>
      <c r="J18" s="108"/>
      <c r="K18" s="106"/>
      <c r="L18" s="106"/>
      <c r="M18" s="105"/>
      <c r="N18" s="107"/>
    </row>
    <row r="19" spans="1:14" ht="15.75" customHeight="1">
      <c r="A19" s="75"/>
      <c r="B19" s="104"/>
      <c r="C19" s="104"/>
      <c r="D19" s="105"/>
      <c r="E19" s="105"/>
      <c r="F19" s="105"/>
      <c r="G19" s="104"/>
      <c r="H19" s="105"/>
      <c r="I19" s="73"/>
      <c r="J19" s="109"/>
      <c r="K19" s="106"/>
      <c r="L19" s="106"/>
      <c r="M19" s="105"/>
      <c r="N19" s="107"/>
    </row>
    <row r="20" spans="1:14" ht="15.75" customHeight="1">
      <c r="A20" s="75"/>
      <c r="B20" s="104"/>
      <c r="C20" s="104"/>
      <c r="D20" s="105"/>
      <c r="E20" s="105"/>
      <c r="F20" s="105"/>
      <c r="G20" s="104"/>
      <c r="H20" s="105"/>
      <c r="I20" s="73"/>
      <c r="J20" s="108"/>
      <c r="K20" s="106"/>
      <c r="L20" s="106"/>
      <c r="M20" s="105"/>
      <c r="N20" s="107"/>
    </row>
    <row r="21" spans="1:14" ht="15.75" customHeight="1">
      <c r="A21" s="75"/>
      <c r="B21" s="104"/>
      <c r="C21" s="104"/>
      <c r="D21" s="105"/>
      <c r="E21" s="105"/>
      <c r="F21" s="105"/>
      <c r="G21" s="104"/>
      <c r="H21" s="105"/>
      <c r="I21" s="73"/>
      <c r="J21" s="108"/>
      <c r="K21" s="106"/>
      <c r="L21" s="106"/>
      <c r="M21" s="105"/>
      <c r="N21" s="107"/>
    </row>
    <row r="22" spans="1:14" ht="15.75" customHeight="1">
      <c r="A22" s="75"/>
      <c r="B22" s="104"/>
      <c r="C22" s="104"/>
      <c r="D22" s="105"/>
      <c r="E22" s="105"/>
      <c r="F22" s="105"/>
      <c r="G22" s="104"/>
      <c r="H22" s="105"/>
      <c r="I22" s="73"/>
      <c r="J22" s="108"/>
      <c r="K22" s="106"/>
      <c r="L22" s="106"/>
      <c r="M22" s="105"/>
      <c r="N22" s="107"/>
    </row>
    <row r="23" spans="1:14" ht="15.75" customHeight="1">
      <c r="A23" s="75"/>
      <c r="B23" s="104"/>
      <c r="C23" s="104"/>
      <c r="D23" s="105"/>
      <c r="E23" s="105"/>
      <c r="F23" s="105"/>
      <c r="G23" s="104"/>
      <c r="H23" s="105"/>
      <c r="I23" s="73"/>
      <c r="J23" s="105"/>
      <c r="K23" s="106"/>
      <c r="L23" s="106"/>
      <c r="M23" s="105"/>
      <c r="N23" s="107"/>
    </row>
    <row r="24" spans="1:14" ht="15.75" customHeight="1">
      <c r="A24" s="75"/>
      <c r="B24" s="104"/>
      <c r="C24" s="104"/>
      <c r="D24" s="105"/>
      <c r="E24" s="105"/>
      <c r="F24" s="105"/>
      <c r="G24" s="104"/>
      <c r="H24" s="105"/>
      <c r="I24" s="73"/>
      <c r="J24" s="109"/>
      <c r="K24" s="106"/>
      <c r="L24" s="106"/>
      <c r="M24" s="105"/>
      <c r="N24" s="107"/>
    </row>
    <row r="25" spans="1:14" ht="15.75" customHeight="1">
      <c r="A25" s="75"/>
      <c r="B25" s="104"/>
      <c r="C25" s="104"/>
      <c r="D25" s="105"/>
      <c r="E25" s="105"/>
      <c r="F25" s="105"/>
      <c r="G25" s="104"/>
      <c r="H25" s="105"/>
      <c r="I25" s="73"/>
      <c r="J25" s="109"/>
      <c r="K25" s="106"/>
      <c r="L25" s="106"/>
      <c r="M25" s="105"/>
      <c r="N25" s="107"/>
    </row>
    <row r="26" spans="1:14" ht="15.75" customHeight="1">
      <c r="A26" s="75"/>
      <c r="B26" s="104"/>
      <c r="C26" s="104"/>
      <c r="D26" s="105"/>
      <c r="E26" s="105"/>
      <c r="F26" s="105"/>
      <c r="G26" s="104"/>
      <c r="H26" s="105"/>
      <c r="I26" s="73"/>
      <c r="J26" s="105"/>
      <c r="K26" s="106"/>
      <c r="L26" s="106"/>
      <c r="M26" s="105"/>
      <c r="N26" s="107"/>
    </row>
    <row r="27" spans="1:14" ht="15.75" customHeight="1">
      <c r="A27" s="75"/>
      <c r="B27" s="104"/>
      <c r="C27" s="104"/>
      <c r="D27" s="105"/>
      <c r="E27" s="105"/>
      <c r="F27" s="105"/>
      <c r="G27" s="104"/>
      <c r="H27" s="105"/>
      <c r="I27" s="73"/>
      <c r="J27" s="105"/>
      <c r="K27" s="106"/>
      <c r="L27" s="106"/>
      <c r="M27" s="105"/>
      <c r="N27" s="107"/>
    </row>
    <row r="28" spans="1:14" ht="15.75" customHeight="1">
      <c r="A28" s="75"/>
      <c r="B28" s="104"/>
      <c r="C28" s="104"/>
      <c r="D28" s="105"/>
      <c r="E28" s="105"/>
      <c r="F28" s="105"/>
      <c r="G28" s="104"/>
      <c r="H28" s="105"/>
      <c r="I28" s="73"/>
      <c r="J28" s="108"/>
      <c r="K28" s="106"/>
      <c r="L28" s="106"/>
      <c r="M28" s="105"/>
      <c r="N28" s="107"/>
    </row>
    <row r="29" spans="1:14" ht="15.75" customHeight="1">
      <c r="A29" s="75"/>
      <c r="B29" s="104"/>
      <c r="C29" s="104"/>
      <c r="D29" s="105"/>
      <c r="E29" s="105"/>
      <c r="F29" s="105"/>
      <c r="G29" s="104"/>
      <c r="H29" s="105"/>
      <c r="I29" s="73"/>
      <c r="J29" s="110"/>
      <c r="K29" s="106"/>
      <c r="L29" s="106"/>
      <c r="M29" s="105"/>
      <c r="N29" s="107"/>
    </row>
    <row r="30" spans="1:14" ht="15.75" customHeight="1">
      <c r="A30" s="75"/>
      <c r="B30" s="104"/>
      <c r="C30" s="104"/>
      <c r="D30" s="105"/>
      <c r="E30" s="105"/>
      <c r="F30" s="105"/>
      <c r="G30" s="104"/>
      <c r="H30" s="105"/>
      <c r="I30" s="73"/>
      <c r="J30" s="74"/>
      <c r="K30" s="106"/>
      <c r="L30" s="106"/>
      <c r="M30" s="105"/>
      <c r="N30" s="107"/>
    </row>
    <row r="31" spans="1:14" ht="15.75" customHeight="1">
      <c r="A31" s="75"/>
      <c r="B31" s="104"/>
      <c r="C31" s="104"/>
      <c r="D31" s="105"/>
      <c r="E31" s="105"/>
      <c r="F31" s="105"/>
      <c r="G31" s="104"/>
      <c r="H31" s="105"/>
      <c r="I31" s="73"/>
      <c r="J31" s="74"/>
      <c r="K31" s="106"/>
      <c r="L31" s="106"/>
      <c r="M31" s="105"/>
      <c r="N31" s="107"/>
    </row>
    <row r="32" spans="1:14" ht="15.75" customHeight="1">
      <c r="A32" s="75"/>
      <c r="B32" s="104"/>
      <c r="C32" s="104"/>
      <c r="D32" s="105"/>
      <c r="E32" s="105"/>
      <c r="F32" s="105"/>
      <c r="G32" s="104"/>
      <c r="H32" s="105"/>
      <c r="I32" s="73"/>
      <c r="J32" s="74"/>
      <c r="K32" s="106"/>
      <c r="L32" s="106"/>
      <c r="M32" s="105"/>
      <c r="N32" s="107"/>
    </row>
    <row r="33" spans="1:14" ht="15.75" customHeight="1">
      <c r="A33" s="75"/>
      <c r="B33" s="104"/>
      <c r="C33" s="104"/>
      <c r="D33" s="105"/>
      <c r="E33" s="105"/>
      <c r="F33" s="105"/>
      <c r="G33" s="104"/>
      <c r="H33" s="105"/>
      <c r="I33" s="73"/>
      <c r="J33" s="74"/>
      <c r="K33" s="106"/>
      <c r="L33" s="106"/>
      <c r="M33" s="105"/>
      <c r="N33" s="107"/>
    </row>
    <row r="34" spans="1:14" ht="15.75" customHeight="1">
      <c r="A34" s="75"/>
      <c r="B34" s="104"/>
      <c r="C34" s="104"/>
      <c r="D34" s="105"/>
      <c r="E34" s="105"/>
      <c r="F34" s="105"/>
      <c r="G34" s="104"/>
      <c r="H34" s="105"/>
      <c r="I34" s="72"/>
      <c r="J34" s="72"/>
      <c r="K34" s="106"/>
      <c r="L34" s="106"/>
      <c r="M34" s="105"/>
      <c r="N34" s="107"/>
    </row>
    <row r="35" spans="1:14" ht="15.75" customHeight="1">
      <c r="A35" s="75"/>
      <c r="B35" s="104"/>
      <c r="C35" s="104"/>
      <c r="D35" s="105"/>
      <c r="E35" s="105"/>
      <c r="F35" s="105"/>
      <c r="G35" s="104"/>
      <c r="H35" s="105"/>
      <c r="I35" s="73"/>
      <c r="J35" s="105"/>
      <c r="K35" s="106"/>
      <c r="L35" s="106"/>
      <c r="M35" s="105"/>
      <c r="N35" s="107"/>
    </row>
    <row r="36" spans="1:14" ht="15.75" customHeight="1">
      <c r="A36" s="75"/>
      <c r="B36" s="104"/>
      <c r="C36" s="104"/>
      <c r="D36" s="105"/>
      <c r="E36" s="105"/>
      <c r="F36" s="105"/>
      <c r="G36" s="104"/>
      <c r="H36" s="105"/>
      <c r="I36" s="73"/>
      <c r="J36" s="105"/>
      <c r="K36" s="106"/>
      <c r="L36" s="106"/>
      <c r="M36" s="105"/>
      <c r="N36" s="107"/>
    </row>
    <row r="37" spans="1:14" ht="15.75" customHeight="1">
      <c r="A37" s="75"/>
      <c r="B37" s="104"/>
      <c r="C37" s="104"/>
      <c r="D37" s="105"/>
      <c r="E37" s="105"/>
      <c r="F37" s="105"/>
      <c r="G37" s="104"/>
      <c r="H37" s="105"/>
      <c r="I37" s="73"/>
      <c r="J37" s="105"/>
      <c r="K37" s="106"/>
      <c r="L37" s="106"/>
      <c r="M37" s="105"/>
      <c r="N37" s="107"/>
    </row>
    <row r="38" spans="1:14" ht="15.75" customHeight="1">
      <c r="A38" s="75"/>
      <c r="B38" s="104"/>
      <c r="C38" s="104"/>
      <c r="D38" s="105"/>
      <c r="E38" s="105"/>
      <c r="F38" s="105"/>
      <c r="G38" s="104"/>
      <c r="H38" s="105"/>
      <c r="I38" s="73"/>
      <c r="J38" s="105"/>
      <c r="K38" s="106"/>
      <c r="L38" s="106"/>
      <c r="M38" s="105"/>
      <c r="N38" s="107"/>
    </row>
    <row r="39" spans="1:14" ht="15.75" customHeight="1">
      <c r="A39" s="75"/>
      <c r="B39" s="104"/>
      <c r="C39" s="104"/>
      <c r="D39" s="105"/>
      <c r="E39" s="105"/>
      <c r="F39" s="105"/>
      <c r="G39" s="104"/>
      <c r="H39" s="105"/>
      <c r="I39" s="73"/>
      <c r="J39" s="105"/>
      <c r="K39" s="106"/>
      <c r="L39" s="106"/>
      <c r="M39" s="105"/>
      <c r="N39" s="107"/>
    </row>
    <row r="40" spans="1:14" ht="15.75" customHeight="1">
      <c r="A40" s="75"/>
      <c r="B40" s="104"/>
      <c r="C40" s="104"/>
      <c r="D40" s="105"/>
      <c r="E40" s="105"/>
      <c r="F40" s="105"/>
      <c r="G40" s="104"/>
      <c r="H40" s="105"/>
      <c r="I40" s="73"/>
      <c r="J40" s="105"/>
      <c r="K40" s="106"/>
      <c r="L40" s="106"/>
      <c r="M40" s="105"/>
      <c r="N40" s="107"/>
    </row>
    <row r="41" spans="1:14" ht="9" customHeight="1">
      <c r="B41" s="101"/>
      <c r="C41" s="101"/>
    </row>
    <row r="42" spans="1:14" ht="18" customHeight="1">
      <c r="B42" s="604" t="s">
        <v>213</v>
      </c>
      <c r="C42" s="521"/>
      <c r="D42" s="521"/>
      <c r="E42" s="521"/>
      <c r="F42" s="519"/>
      <c r="G42" s="102"/>
    </row>
    <row r="43" spans="1:14" ht="6" customHeight="1">
      <c r="B43" s="103"/>
      <c r="C43" s="103"/>
      <c r="D43" s="4"/>
      <c r="E43" s="4"/>
      <c r="F43" s="4"/>
      <c r="G43" s="4"/>
    </row>
    <row r="44" spans="1:14" ht="15.75" customHeight="1">
      <c r="A44" s="75" t="s">
        <v>136</v>
      </c>
      <c r="B44" s="104" t="s">
        <v>214</v>
      </c>
      <c r="C44" s="104" t="s">
        <v>151</v>
      </c>
      <c r="D44" s="105"/>
      <c r="E44" s="105"/>
      <c r="F44" s="105"/>
      <c r="G44" s="104"/>
      <c r="H44" s="111"/>
      <c r="I44" s="111"/>
      <c r="J44" s="111"/>
      <c r="K44" s="112"/>
      <c r="L44" s="106"/>
      <c r="M44" s="105"/>
      <c r="N44" s="107">
        <v>1000</v>
      </c>
    </row>
    <row r="45" spans="1:14" ht="15.75" customHeight="1">
      <c r="A45" s="75"/>
      <c r="B45" s="104"/>
      <c r="C45" s="104"/>
      <c r="D45" s="105"/>
      <c r="E45" s="105"/>
      <c r="F45" s="105"/>
      <c r="G45" s="104"/>
      <c r="H45" s="111"/>
      <c r="I45" s="111"/>
      <c r="J45" s="111"/>
      <c r="K45" s="112"/>
      <c r="L45" s="106"/>
      <c r="M45" s="105"/>
      <c r="N45" s="107"/>
    </row>
    <row r="46" spans="1:14" ht="15.75" customHeight="1">
      <c r="A46" s="75"/>
      <c r="B46" s="104"/>
      <c r="C46" s="104"/>
      <c r="D46" s="105"/>
      <c r="E46" s="105"/>
      <c r="F46" s="105"/>
      <c r="G46" s="104"/>
      <c r="H46" s="111"/>
      <c r="I46" s="111"/>
      <c r="J46" s="111"/>
      <c r="K46" s="112"/>
      <c r="L46" s="106"/>
      <c r="M46" s="105"/>
      <c r="N46" s="107"/>
    </row>
    <row r="47" spans="1:14" ht="15.75" customHeight="1">
      <c r="A47" s="75"/>
      <c r="B47" s="104"/>
      <c r="C47" s="104"/>
      <c r="D47" s="105"/>
      <c r="E47" s="105"/>
      <c r="F47" s="105"/>
      <c r="G47" s="104"/>
      <c r="H47" s="111"/>
      <c r="I47" s="111"/>
      <c r="J47" s="111"/>
      <c r="K47" s="112"/>
      <c r="L47" s="106"/>
      <c r="M47" s="105"/>
      <c r="N47" s="107"/>
    </row>
    <row r="48" spans="1:14" ht="15.75" customHeight="1">
      <c r="A48" s="75"/>
      <c r="B48" s="104"/>
      <c r="C48" s="104"/>
      <c r="D48" s="105"/>
      <c r="E48" s="105"/>
      <c r="F48" s="105"/>
      <c r="G48" s="104"/>
      <c r="H48" s="111"/>
      <c r="I48" s="111"/>
      <c r="J48" s="111"/>
      <c r="K48" s="112"/>
      <c r="L48" s="106"/>
      <c r="M48" s="105"/>
      <c r="N48" s="107"/>
    </row>
    <row r="49" spans="1:14" ht="15.75" customHeight="1">
      <c r="A49" s="75"/>
      <c r="B49" s="104"/>
      <c r="C49" s="104"/>
      <c r="D49" s="105"/>
      <c r="E49" s="105"/>
      <c r="F49" s="105"/>
      <c r="G49" s="104"/>
      <c r="H49" s="111"/>
      <c r="I49" s="111"/>
      <c r="J49" s="111"/>
      <c r="K49" s="112"/>
      <c r="L49" s="106"/>
      <c r="M49" s="105"/>
      <c r="N49" s="107"/>
    </row>
    <row r="50" spans="1:14" ht="15.75" customHeight="1">
      <c r="A50" s="75"/>
      <c r="B50" s="104"/>
      <c r="C50" s="104"/>
      <c r="D50" s="105"/>
      <c r="E50" s="105"/>
      <c r="F50" s="105"/>
      <c r="G50" s="104"/>
      <c r="H50" s="111"/>
      <c r="I50" s="111"/>
      <c r="J50" s="111"/>
      <c r="K50" s="112"/>
      <c r="L50" s="106"/>
      <c r="M50" s="105"/>
      <c r="N50" s="107"/>
    </row>
    <row r="51" spans="1:14" ht="15.75" customHeight="1">
      <c r="A51" s="75"/>
      <c r="B51" s="104"/>
      <c r="C51" s="104"/>
      <c r="D51" s="105"/>
      <c r="E51" s="105"/>
      <c r="F51" s="105"/>
      <c r="G51" s="104"/>
      <c r="H51" s="111"/>
      <c r="I51" s="111"/>
      <c r="J51" s="111"/>
      <c r="K51" s="112"/>
      <c r="L51" s="106"/>
      <c r="M51" s="105"/>
      <c r="N51" s="107"/>
    </row>
    <row r="52" spans="1:14" ht="15.75" customHeight="1">
      <c r="A52" s="75"/>
      <c r="B52" s="104"/>
      <c r="C52" s="104"/>
      <c r="D52" s="105"/>
      <c r="E52" s="105"/>
      <c r="F52" s="105"/>
      <c r="G52" s="104"/>
      <c r="H52" s="111"/>
      <c r="I52" s="111"/>
      <c r="J52" s="111"/>
      <c r="K52" s="112"/>
      <c r="L52" s="106"/>
      <c r="M52" s="105"/>
      <c r="N52" s="107"/>
    </row>
    <row r="53" spans="1:14" ht="15.75" customHeight="1">
      <c r="A53" s="75"/>
      <c r="B53" s="104"/>
      <c r="C53" s="104"/>
      <c r="D53" s="105"/>
      <c r="E53" s="105"/>
      <c r="F53" s="105"/>
      <c r="G53" s="104"/>
      <c r="H53" s="111"/>
      <c r="I53" s="111"/>
      <c r="J53" s="111"/>
      <c r="K53" s="112"/>
      <c r="L53" s="106"/>
      <c r="M53" s="105"/>
      <c r="N53" s="107"/>
    </row>
    <row r="54" spans="1:14" ht="15.75" customHeight="1">
      <c r="A54" s="75"/>
      <c r="B54" s="104"/>
      <c r="C54" s="104"/>
      <c r="D54" s="105"/>
      <c r="E54" s="105"/>
      <c r="F54" s="105"/>
      <c r="G54" s="104"/>
      <c r="H54" s="111"/>
      <c r="I54" s="111"/>
      <c r="J54" s="111"/>
      <c r="K54" s="112"/>
      <c r="L54" s="106"/>
      <c r="M54" s="105"/>
      <c r="N54" s="107"/>
    </row>
    <row r="55" spans="1:14" ht="15.75" customHeight="1">
      <c r="A55" s="75"/>
      <c r="B55" s="104"/>
      <c r="C55" s="104"/>
      <c r="D55" s="105"/>
      <c r="E55" s="105"/>
      <c r="F55" s="105"/>
      <c r="G55" s="104"/>
      <c r="H55" s="111"/>
      <c r="I55" s="111"/>
      <c r="J55" s="111"/>
      <c r="K55" s="112"/>
      <c r="L55" s="106"/>
      <c r="M55" s="105"/>
      <c r="N55" s="107"/>
    </row>
    <row r="56" spans="1:14" ht="15.75" customHeight="1">
      <c r="A56" s="75"/>
      <c r="B56" s="104"/>
      <c r="C56" s="104"/>
      <c r="D56" s="105"/>
      <c r="E56" s="105"/>
      <c r="F56" s="105"/>
      <c r="G56" s="104"/>
      <c r="H56" s="111"/>
      <c r="I56" s="111"/>
      <c r="J56" s="111"/>
      <c r="K56" s="112"/>
      <c r="L56" s="106"/>
      <c r="M56" s="105"/>
      <c r="N56" s="107"/>
    </row>
    <row r="57" spans="1:14" ht="15.75" customHeight="1">
      <c r="A57" s="75"/>
      <c r="B57" s="104"/>
      <c r="C57" s="104"/>
      <c r="D57" s="105"/>
      <c r="E57" s="105"/>
      <c r="F57" s="105"/>
      <c r="G57" s="104"/>
      <c r="H57" s="111"/>
      <c r="I57" s="111"/>
      <c r="J57" s="111"/>
      <c r="K57" s="112"/>
      <c r="L57" s="106"/>
      <c r="M57" s="105"/>
      <c r="N57" s="107"/>
    </row>
    <row r="58" spans="1:14" ht="15.75" customHeight="1">
      <c r="A58" s="75"/>
      <c r="B58" s="104"/>
      <c r="C58" s="104"/>
      <c r="D58" s="105"/>
      <c r="E58" s="105"/>
      <c r="F58" s="105"/>
      <c r="G58" s="104"/>
      <c r="H58" s="111"/>
      <c r="I58" s="111"/>
      <c r="J58" s="111"/>
      <c r="K58" s="112"/>
      <c r="L58" s="106"/>
      <c r="M58" s="105"/>
      <c r="N58" s="107"/>
    </row>
    <row r="59" spans="1:14" ht="15.75" customHeight="1">
      <c r="A59" s="75"/>
      <c r="B59" s="104"/>
      <c r="C59" s="104"/>
      <c r="D59" s="105"/>
      <c r="E59" s="105"/>
      <c r="F59" s="105"/>
      <c r="G59" s="104"/>
      <c r="H59" s="111"/>
      <c r="I59" s="111"/>
      <c r="J59" s="111"/>
      <c r="K59" s="112"/>
      <c r="L59" s="106"/>
      <c r="M59" s="105"/>
      <c r="N59" s="107"/>
    </row>
    <row r="60" spans="1:14" ht="15.75" customHeight="1">
      <c r="A60" s="75"/>
      <c r="B60" s="104"/>
      <c r="C60" s="104"/>
      <c r="D60" s="105"/>
      <c r="E60" s="105"/>
      <c r="F60" s="105"/>
      <c r="G60" s="104"/>
      <c r="H60" s="111"/>
      <c r="I60" s="111"/>
      <c r="J60" s="111"/>
      <c r="K60" s="112"/>
      <c r="L60" s="106"/>
      <c r="M60" s="105"/>
      <c r="N60" s="107"/>
    </row>
    <row r="61" spans="1:14" ht="15.75" customHeight="1">
      <c r="A61" s="75"/>
      <c r="B61" s="104"/>
      <c r="C61" s="104"/>
      <c r="D61" s="105"/>
      <c r="E61" s="105"/>
      <c r="F61" s="105"/>
      <c r="G61" s="104"/>
      <c r="H61" s="111"/>
      <c r="I61" s="111"/>
      <c r="J61" s="111"/>
      <c r="K61" s="112"/>
      <c r="L61" s="106"/>
      <c r="M61" s="105"/>
      <c r="N61" s="107"/>
    </row>
    <row r="62" spans="1:14" ht="15.75" customHeight="1">
      <c r="A62" s="75"/>
      <c r="B62" s="104"/>
      <c r="C62" s="104"/>
      <c r="D62" s="105"/>
      <c r="E62" s="105"/>
      <c r="F62" s="105"/>
      <c r="G62" s="104"/>
      <c r="H62" s="111"/>
      <c r="I62" s="111"/>
      <c r="J62" s="111"/>
      <c r="K62" s="112"/>
      <c r="L62" s="106"/>
      <c r="M62" s="105"/>
      <c r="N62" s="107"/>
    </row>
    <row r="63" spans="1:14" ht="15.75" customHeight="1">
      <c r="A63" s="75"/>
      <c r="B63" s="104"/>
      <c r="C63" s="104"/>
      <c r="D63" s="105"/>
      <c r="E63" s="105"/>
      <c r="F63" s="105"/>
      <c r="G63" s="104"/>
      <c r="H63" s="111"/>
      <c r="I63" s="111"/>
      <c r="J63" s="111"/>
      <c r="K63" s="112"/>
      <c r="L63" s="106"/>
      <c r="M63" s="105"/>
      <c r="N63" s="107"/>
    </row>
    <row r="64" spans="1:14" ht="15.75" customHeight="1">
      <c r="A64" s="75"/>
      <c r="B64" s="104"/>
      <c r="C64" s="104"/>
      <c r="D64" s="105"/>
      <c r="E64" s="105"/>
      <c r="F64" s="105"/>
      <c r="G64" s="104"/>
      <c r="H64" s="111"/>
      <c r="I64" s="111"/>
      <c r="J64" s="111"/>
      <c r="K64" s="112"/>
      <c r="L64" s="106"/>
      <c r="M64" s="105"/>
      <c r="N64" s="107"/>
    </row>
    <row r="65" spans="1:26" ht="15.75" customHeight="1">
      <c r="A65" s="75"/>
      <c r="B65" s="104"/>
      <c r="C65" s="104"/>
      <c r="D65" s="105"/>
      <c r="E65" s="105"/>
      <c r="F65" s="105"/>
      <c r="G65" s="104"/>
      <c r="H65" s="111"/>
      <c r="I65" s="111"/>
      <c r="J65" s="111"/>
      <c r="K65" s="112"/>
      <c r="L65" s="106"/>
      <c r="M65" s="105"/>
      <c r="N65" s="107"/>
    </row>
    <row r="66" spans="1:26" ht="15.75" customHeight="1">
      <c r="A66" s="75"/>
      <c r="B66" s="104"/>
      <c r="C66" s="104"/>
      <c r="D66" s="105"/>
      <c r="E66" s="105"/>
      <c r="F66" s="105"/>
      <c r="G66" s="104"/>
      <c r="H66" s="111"/>
      <c r="I66" s="111"/>
      <c r="J66" s="111"/>
      <c r="K66" s="112"/>
      <c r="L66" s="106"/>
      <c r="M66" s="105"/>
      <c r="N66" s="107"/>
      <c r="S66" s="113"/>
    </row>
    <row r="67" spans="1:26" ht="15.75" customHeight="1">
      <c r="B67" s="4"/>
      <c r="C67" s="4"/>
      <c r="D67" s="4"/>
      <c r="E67" s="4"/>
      <c r="F67" s="4"/>
      <c r="G67" s="4"/>
      <c r="H67" s="4"/>
      <c r="I67" s="4"/>
      <c r="J67" s="4"/>
      <c r="K67" s="4"/>
      <c r="L67" s="4"/>
      <c r="M67" s="4"/>
      <c r="N67" s="4"/>
      <c r="O67" s="4"/>
    </row>
    <row r="68" spans="1:26" ht="15.75" customHeight="1">
      <c r="D68" s="605" t="s">
        <v>217</v>
      </c>
      <c r="E68" s="516"/>
      <c r="F68" s="594"/>
      <c r="G68" s="114">
        <f>COUNTA(G15:G24)</f>
        <v>1</v>
      </c>
      <c r="H68" s="4"/>
      <c r="I68" s="4"/>
      <c r="J68" s="4"/>
      <c r="K68" s="605" t="s">
        <v>218</v>
      </c>
      <c r="L68" s="516"/>
      <c r="M68" s="594"/>
      <c r="N68" s="115">
        <f>SUM(N15:N24)</f>
        <v>1500</v>
      </c>
    </row>
    <row r="69" spans="1:26" ht="15.75" customHeight="1">
      <c r="D69" s="605" t="s">
        <v>219</v>
      </c>
      <c r="E69" s="516"/>
      <c r="F69" s="594"/>
      <c r="G69" s="114">
        <f>COUNTA(B44:B66)</f>
        <v>1</v>
      </c>
      <c r="H69" s="4"/>
      <c r="I69" s="4"/>
      <c r="J69" s="4"/>
      <c r="K69" s="605" t="s">
        <v>220</v>
      </c>
      <c r="L69" s="516"/>
      <c r="M69" s="594"/>
      <c r="N69" s="115">
        <f>SUM(N44:N66)</f>
        <v>1000</v>
      </c>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row r="72" spans="1:26" ht="15.75" customHeight="1">
      <c r="A72" s="555" t="s">
        <v>221</v>
      </c>
      <c r="B72" s="516"/>
      <c r="C72" s="516"/>
      <c r="D72" s="516"/>
      <c r="E72" s="516"/>
      <c r="F72" s="517"/>
    </row>
    <row r="73" spans="1:26" ht="4.5" customHeight="1">
      <c r="B73" s="1"/>
      <c r="C73" s="1"/>
      <c r="D73" s="1"/>
      <c r="E73" s="1"/>
      <c r="F73" s="1"/>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row r="76" spans="1:26" ht="15.75" customHeight="1">
      <c r="L76" s="608" t="s">
        <v>222</v>
      </c>
      <c r="M76" s="516"/>
      <c r="N76" s="516"/>
      <c r="O76" s="517"/>
    </row>
    <row r="77" spans="1:26" ht="15.75" customHeight="1">
      <c r="B77" s="540"/>
      <c r="C77" s="541"/>
      <c r="D77" s="541"/>
      <c r="E77" s="541"/>
      <c r="F77" s="541"/>
      <c r="G77" s="541"/>
      <c r="H77" s="541"/>
      <c r="I77" s="541"/>
      <c r="J77" s="541"/>
    </row>
    <row r="78" spans="1:26" ht="15.75" customHeight="1">
      <c r="B78" s="541"/>
      <c r="C78" s="541"/>
      <c r="D78" s="541"/>
      <c r="E78" s="541"/>
      <c r="F78" s="541"/>
      <c r="G78" s="541"/>
      <c r="H78" s="541"/>
      <c r="I78" s="541"/>
      <c r="J78" s="541"/>
      <c r="L78" s="607" t="s">
        <v>223</v>
      </c>
      <c r="M78" s="587"/>
      <c r="N78" s="105">
        <f>COUNTIF(G15:G24,"éléctrique")</f>
        <v>0</v>
      </c>
      <c r="O78" s="117">
        <f>N78/G68</f>
        <v>0</v>
      </c>
      <c r="Q78" s="113"/>
    </row>
    <row r="79" spans="1:26" ht="15.75" customHeight="1">
      <c r="B79" s="541"/>
      <c r="C79" s="541"/>
      <c r="D79" s="541"/>
      <c r="E79" s="541"/>
      <c r="F79" s="541"/>
      <c r="G79" s="541"/>
      <c r="H79" s="541"/>
      <c r="I79" s="541"/>
      <c r="J79" s="541"/>
      <c r="L79" s="606" t="s">
        <v>224</v>
      </c>
      <c r="M79" s="590"/>
      <c r="N79" s="105">
        <f>SUMIF((G15:G24),"éléctrique",N15:N24)</f>
        <v>0</v>
      </c>
      <c r="O79" s="117">
        <f>N79/N68</f>
        <v>0</v>
      </c>
    </row>
    <row r="80" spans="1:26" ht="15.75" customHeight="1">
      <c r="B80" s="541"/>
      <c r="C80" s="541"/>
      <c r="D80" s="541"/>
      <c r="E80" s="541"/>
      <c r="F80" s="541"/>
      <c r="G80" s="541"/>
      <c r="H80" s="541"/>
      <c r="I80" s="541"/>
      <c r="J80" s="541"/>
      <c r="Q80" s="113"/>
    </row>
    <row r="81" spans="2:15" ht="15.75" customHeight="1">
      <c r="B81" s="541"/>
      <c r="C81" s="541"/>
      <c r="D81" s="541"/>
      <c r="E81" s="541"/>
      <c r="F81" s="541"/>
      <c r="G81" s="541"/>
      <c r="H81" s="541"/>
      <c r="I81" s="541"/>
      <c r="J81" s="541"/>
      <c r="L81" s="607" t="s">
        <v>225</v>
      </c>
      <c r="M81" s="587"/>
      <c r="N81" s="105">
        <f>COUNTIF(G15:G24,"hybride")</f>
        <v>0</v>
      </c>
      <c r="O81" s="117">
        <f>N81/G68</f>
        <v>0</v>
      </c>
    </row>
    <row r="82" spans="2:15" ht="15.75" customHeight="1">
      <c r="B82" s="541"/>
      <c r="C82" s="541"/>
      <c r="D82" s="541"/>
      <c r="E82" s="541"/>
      <c r="F82" s="541"/>
      <c r="G82" s="541"/>
      <c r="H82" s="541"/>
      <c r="I82" s="541"/>
      <c r="J82" s="541"/>
      <c r="L82" s="606" t="s">
        <v>226</v>
      </c>
      <c r="M82" s="590"/>
      <c r="N82" s="105">
        <f>SUMIF((G15:G24),"hybride",N15:N24)</f>
        <v>0</v>
      </c>
      <c r="O82" s="117">
        <f>N82/N68</f>
        <v>0</v>
      </c>
    </row>
    <row r="83" spans="2:15" ht="15.75" customHeight="1">
      <c r="B83" s="541"/>
      <c r="C83" s="541"/>
      <c r="D83" s="541"/>
      <c r="E83" s="541"/>
      <c r="F83" s="541"/>
      <c r="G83" s="541"/>
      <c r="H83" s="541"/>
      <c r="I83" s="541"/>
      <c r="J83" s="541"/>
    </row>
    <row r="84" spans="2:15" ht="15.75" customHeight="1">
      <c r="B84" s="541"/>
      <c r="C84" s="541"/>
      <c r="D84" s="541"/>
      <c r="E84" s="541"/>
      <c r="F84" s="541"/>
      <c r="G84" s="541"/>
      <c r="H84" s="541"/>
      <c r="I84" s="541"/>
      <c r="J84" s="541"/>
      <c r="L84" s="607" t="s">
        <v>227</v>
      </c>
      <c r="M84" s="587"/>
      <c r="N84" s="105">
        <f>COUNTIF(G15:G24,"essence")</f>
        <v>0</v>
      </c>
      <c r="O84" s="117">
        <f>N84/G68</f>
        <v>0</v>
      </c>
    </row>
    <row r="85" spans="2:15" ht="15.75" customHeight="1">
      <c r="B85" s="541"/>
      <c r="C85" s="541"/>
      <c r="D85" s="541"/>
      <c r="E85" s="541"/>
      <c r="F85" s="541"/>
      <c r="G85" s="541"/>
      <c r="H85" s="541"/>
      <c r="I85" s="541"/>
      <c r="J85" s="541"/>
      <c r="L85" s="606" t="s">
        <v>228</v>
      </c>
      <c r="M85" s="590"/>
      <c r="N85" s="105">
        <f>SUMIF((G15:G24),"essence",N15:N24)</f>
        <v>0</v>
      </c>
      <c r="O85" s="117">
        <f>N85/N68</f>
        <v>0</v>
      </c>
    </row>
    <row r="86" spans="2:15" ht="15.75" customHeight="1">
      <c r="B86" s="541"/>
      <c r="C86" s="541"/>
      <c r="D86" s="541"/>
      <c r="E86" s="541"/>
      <c r="F86" s="541"/>
      <c r="G86" s="541"/>
      <c r="H86" s="541"/>
      <c r="I86" s="541"/>
      <c r="J86" s="541"/>
    </row>
    <row r="87" spans="2:15" ht="15.75" customHeight="1">
      <c r="B87" s="541"/>
      <c r="C87" s="541"/>
      <c r="D87" s="541"/>
      <c r="E87" s="541"/>
      <c r="F87" s="541"/>
      <c r="G87" s="541"/>
      <c r="H87" s="541"/>
      <c r="I87" s="541"/>
      <c r="J87" s="541"/>
      <c r="L87" s="607" t="s">
        <v>229</v>
      </c>
      <c r="M87" s="587"/>
      <c r="N87" s="105">
        <f>COUNTIF(G15:G24,"diesel")</f>
        <v>1</v>
      </c>
      <c r="O87" s="117">
        <f>N87/G68</f>
        <v>1</v>
      </c>
    </row>
    <row r="88" spans="2:15" ht="15.75" customHeight="1">
      <c r="B88" s="541"/>
      <c r="C88" s="541"/>
      <c r="D88" s="541"/>
      <c r="E88" s="541"/>
      <c r="F88" s="541"/>
      <c r="G88" s="541"/>
      <c r="H88" s="541"/>
      <c r="I88" s="541"/>
      <c r="J88" s="541"/>
      <c r="L88" s="606" t="s">
        <v>230</v>
      </c>
      <c r="M88" s="590"/>
      <c r="N88" s="105">
        <f>SUMIF((G15:G24),"diesel",N15:N24)</f>
        <v>1500</v>
      </c>
      <c r="O88" s="117">
        <f>N88/N68</f>
        <v>1</v>
      </c>
    </row>
    <row r="89" spans="2:15" ht="15.75" customHeight="1">
      <c r="B89" s="541"/>
      <c r="C89" s="541"/>
      <c r="D89" s="541"/>
      <c r="E89" s="541"/>
      <c r="F89" s="541"/>
      <c r="G89" s="541"/>
      <c r="H89" s="541"/>
      <c r="I89" s="541"/>
      <c r="J89" s="541"/>
    </row>
    <row r="90" spans="2:15" ht="15.75" customHeight="1">
      <c r="B90" s="541"/>
      <c r="C90" s="541"/>
      <c r="D90" s="541"/>
      <c r="E90" s="541"/>
      <c r="F90" s="541"/>
      <c r="G90" s="541"/>
      <c r="H90" s="541"/>
      <c r="I90" s="541"/>
      <c r="J90" s="541"/>
    </row>
    <row r="91" spans="2:15" ht="15.75" customHeight="1"/>
    <row r="92" spans="2:15" ht="15.75" customHeight="1"/>
    <row r="93" spans="2:15" ht="15.75" customHeight="1">
      <c r="L93" s="608" t="s">
        <v>188</v>
      </c>
      <c r="M93" s="516"/>
      <c r="N93" s="516"/>
      <c r="O93" s="517"/>
    </row>
    <row r="94" spans="2:15" ht="15.75" customHeight="1"/>
    <row r="95" spans="2:15" ht="15.75" customHeight="1">
      <c r="L95" s="607" t="s">
        <v>223</v>
      </c>
      <c r="M95" s="587"/>
      <c r="N95" s="105">
        <f>COUNTIF(G15:G24,"éléctrique")</f>
        <v>0</v>
      </c>
      <c r="O95" s="117">
        <f>N95/(SUM(G68:G69))</f>
        <v>0</v>
      </c>
    </row>
    <row r="96" spans="2:15" ht="15.75" customHeight="1">
      <c r="L96" s="606" t="s">
        <v>224</v>
      </c>
      <c r="M96" s="590"/>
      <c r="N96" s="105">
        <f>SUMIF((G15:G24),"éléctrique",N15:N24)</f>
        <v>0</v>
      </c>
      <c r="O96" s="117">
        <f>N96/(N68+N69)</f>
        <v>0</v>
      </c>
    </row>
    <row r="97" spans="12:15" ht="15.75" customHeight="1"/>
    <row r="98" spans="12:15" ht="15.75" customHeight="1">
      <c r="L98" s="607" t="s">
        <v>225</v>
      </c>
      <c r="M98" s="587"/>
      <c r="N98" s="105">
        <f>COUNTIF(G15:G24,"hybride")</f>
        <v>0</v>
      </c>
      <c r="O98" s="117">
        <f>N98/(SUM(G68:G69))</f>
        <v>0</v>
      </c>
    </row>
    <row r="99" spans="12:15" ht="15.75" customHeight="1">
      <c r="L99" s="606" t="s">
        <v>226</v>
      </c>
      <c r="M99" s="590"/>
      <c r="N99" s="105">
        <f>SUMIF((G15:G24),"hybride",N15:N24)</f>
        <v>0</v>
      </c>
      <c r="O99" s="117">
        <f>N99/(N68+N69)</f>
        <v>0</v>
      </c>
    </row>
    <row r="100" spans="12:15" ht="15.75" customHeight="1"/>
    <row r="101" spans="12:15" ht="15.75" customHeight="1">
      <c r="L101" s="607" t="s">
        <v>227</v>
      </c>
      <c r="M101" s="587"/>
      <c r="N101" s="105">
        <f>COUNTIF(G15:G24,"essence")</f>
        <v>0</v>
      </c>
      <c r="O101" s="117">
        <f>N101/(SUM(G68:G69))</f>
        <v>0</v>
      </c>
    </row>
    <row r="102" spans="12:15" ht="15.75" customHeight="1">
      <c r="L102" s="606" t="s">
        <v>228</v>
      </c>
      <c r="M102" s="590"/>
      <c r="N102" s="105">
        <f>SUMIF((G15:G24),"essence",N15:N24)</f>
        <v>0</v>
      </c>
      <c r="O102" s="117">
        <f>N102/(N68+N69)</f>
        <v>0</v>
      </c>
    </row>
    <row r="103" spans="12:15" ht="15.75" customHeight="1"/>
    <row r="104" spans="12:15" ht="15.75" customHeight="1">
      <c r="L104" s="607" t="s">
        <v>229</v>
      </c>
      <c r="M104" s="587"/>
      <c r="N104" s="105">
        <f>COUNTIF(G15:G24,"diesel")</f>
        <v>1</v>
      </c>
      <c r="O104" s="117">
        <f>N104/(SUM(G68:G69))</f>
        <v>0.5</v>
      </c>
    </row>
    <row r="105" spans="12:15" ht="15.75" customHeight="1">
      <c r="L105" s="606" t="s">
        <v>230</v>
      </c>
      <c r="M105" s="590"/>
      <c r="N105" s="105">
        <f>SUMIF((G15:G24),"diesel",N15:N24)</f>
        <v>1500</v>
      </c>
      <c r="O105" s="117">
        <f>N105/(N68+N69)</f>
        <v>0.6</v>
      </c>
    </row>
    <row r="106" spans="12:15" ht="15.75" customHeight="1"/>
    <row r="107" spans="12:15" ht="15.75" customHeight="1"/>
    <row r="108" spans="12:15" ht="15.75" customHeight="1">
      <c r="L108" s="607" t="s">
        <v>231</v>
      </c>
      <c r="M108" s="587"/>
      <c r="N108" s="105">
        <f>COUNTIF(B44:B66,"Fret - Train")</f>
        <v>1</v>
      </c>
      <c r="O108" s="117">
        <f>N108/(SUM(G68:G69))</f>
        <v>0.5</v>
      </c>
    </row>
    <row r="109" spans="12:15" ht="15.75" customHeight="1">
      <c r="L109" s="606" t="s">
        <v>232</v>
      </c>
      <c r="M109" s="590"/>
      <c r="N109" s="105">
        <f>SUMIF((B44:B66),"Fret - Train",N44:N66)</f>
        <v>1000</v>
      </c>
      <c r="O109" s="117">
        <f>N109/(N68+N69)</f>
        <v>0.4</v>
      </c>
    </row>
    <row r="110" spans="12:15" ht="15.75" customHeight="1"/>
    <row r="111" spans="12:15" ht="15.75" customHeight="1">
      <c r="L111" s="607" t="s">
        <v>233</v>
      </c>
      <c r="M111" s="587"/>
      <c r="N111" s="105">
        <f>COUNTIF(B44:B66,"Fret - Avion")</f>
        <v>0</v>
      </c>
      <c r="O111" s="117">
        <f>N111/(SUM(G68:G69))</f>
        <v>0</v>
      </c>
    </row>
    <row r="112" spans="12:15" ht="15.75" customHeight="1">
      <c r="L112" s="606" t="s">
        <v>234</v>
      </c>
      <c r="M112" s="590"/>
      <c r="N112" s="105">
        <f>SUMIF((B44:B66),"Fret - avion",N44:N66)</f>
        <v>0</v>
      </c>
      <c r="O112" s="117">
        <f>N112/(N68+N69)</f>
        <v>0</v>
      </c>
    </row>
    <row r="113" spans="8:15" ht="15.75" customHeight="1"/>
    <row r="114" spans="8:15" ht="15.75" customHeight="1">
      <c r="L114" s="607" t="s">
        <v>235</v>
      </c>
      <c r="M114" s="587"/>
      <c r="N114" s="105">
        <f>COUNTIF(B44:B66,"Fret - Bateau")</f>
        <v>0</v>
      </c>
      <c r="O114" s="117">
        <f>N114/(SUM(G68:G69))</f>
        <v>0</v>
      </c>
    </row>
    <row r="115" spans="8:15" ht="15.75" customHeight="1">
      <c r="L115" s="606" t="s">
        <v>236</v>
      </c>
      <c r="M115" s="590"/>
      <c r="N115" s="105">
        <f>SUMIF((B44:B66),"Fret - Bateau",N44:N66)</f>
        <v>0</v>
      </c>
      <c r="O115" s="117">
        <f>N115/(N68+N69)</f>
        <v>0</v>
      </c>
    </row>
    <row r="116" spans="8:15" ht="15.75" customHeight="1"/>
    <row r="117" spans="8:15" ht="15.75" customHeight="1"/>
    <row r="118" spans="8:15" ht="15.75" customHeight="1">
      <c r="H118" s="113"/>
    </row>
    <row r="119" spans="8:15" ht="15.75" customHeight="1">
      <c r="H119" s="113"/>
    </row>
    <row r="120" spans="8:15" ht="15.75" customHeight="1"/>
    <row r="121" spans="8:15" ht="15.75" customHeight="1">
      <c r="K121" s="118" t="s">
        <v>139</v>
      </c>
      <c r="L121" s="119" t="s">
        <v>148</v>
      </c>
      <c r="M121" s="120" t="s">
        <v>197</v>
      </c>
      <c r="N121" s="121" t="s">
        <v>237</v>
      </c>
    </row>
    <row r="122" spans="8:15" ht="15.75" customHeight="1">
      <c r="J122" s="122" t="s">
        <v>238</v>
      </c>
      <c r="K122" s="123">
        <f>SUMIFS(N15:N40, B15:B40, "camionnette", C15:C40, "prépa")</f>
        <v>1500</v>
      </c>
      <c r="L122" s="124">
        <f>SUMIFS(N15:N40, B15:B40, "camionnette", C15:C40, "tournage")</f>
        <v>0</v>
      </c>
      <c r="M122" s="125">
        <f>SUMIFS(N15:N40, B15:B40, "camionnette", C15:C40, "Finitions &amp; Post-Prod")</f>
        <v>0</v>
      </c>
      <c r="N122" s="126">
        <f t="shared" ref="N122:N127" si="0">SUM(K122:M122)</f>
        <v>1500</v>
      </c>
    </row>
    <row r="123" spans="8:15" ht="15.75" customHeight="1">
      <c r="J123" s="127" t="s">
        <v>210</v>
      </c>
      <c r="K123" s="128">
        <f>SUMIFS(N15:N40, B15:B40, "camion &lt;7t", C15:C40, "prépa")</f>
        <v>0</v>
      </c>
      <c r="L123" s="105">
        <f>SUMIFS(N15:N40, B15:B40, "camion &lt;7t", C15:C40, "tournage")</f>
        <v>0</v>
      </c>
      <c r="M123" s="129">
        <f>SUMIFS(N15:N40, B15:B40, "camion &lt;7t", C15:C40, "Finitions &amp; Post-prod")</f>
        <v>0</v>
      </c>
      <c r="N123" s="130">
        <f t="shared" si="0"/>
        <v>0</v>
      </c>
    </row>
    <row r="124" spans="8:15" ht="15.75" customHeight="1">
      <c r="J124" s="127" t="s">
        <v>212</v>
      </c>
      <c r="K124" s="128">
        <f>SUMIFS(N15:N40, B15:B40, "camion &gt;7t", C15:C40, "prépa")</f>
        <v>0</v>
      </c>
      <c r="L124" s="105">
        <f>SUMIFS(N15:N40, B15:B40, "camion &gt;7t", C15:C40, "tournage")</f>
        <v>0</v>
      </c>
      <c r="M124" s="129">
        <f>SUMIFS(N15:N40, B15:B40, "camion &gt;7t", C15:C40, "Finitions &amp; Post-prod")</f>
        <v>0</v>
      </c>
      <c r="N124" s="130">
        <f t="shared" si="0"/>
        <v>0</v>
      </c>
    </row>
    <row r="125" spans="8:15" ht="15.75" customHeight="1">
      <c r="J125" s="127" t="s">
        <v>216</v>
      </c>
      <c r="K125" s="128">
        <f>SUMIFS(N44:N66,B44:B66,"Fret- avion",C44:C66,"prépa")</f>
        <v>0</v>
      </c>
      <c r="L125" s="105">
        <f>SUMIFS(N44:N66, B44:B66, "Fret - avion", C44:C66, "tournage")</f>
        <v>0</v>
      </c>
      <c r="M125" s="129">
        <f>SUMIFS(N44:N66, B44:B66, "Fret - avion", C44:C66, "Finitions &amp; Post-prod")</f>
        <v>0</v>
      </c>
      <c r="N125" s="130">
        <f t="shared" si="0"/>
        <v>0</v>
      </c>
    </row>
    <row r="126" spans="8:15" ht="15.75" customHeight="1">
      <c r="J126" s="127" t="s">
        <v>214</v>
      </c>
      <c r="K126" s="128">
        <f>SUMIFS(N44:N66,B44:B66,"Fret- train",C44:C66,"prépa")</f>
        <v>0</v>
      </c>
      <c r="L126" s="105">
        <f>SUMIFS(N44:N66, B44:B66, "Fret - train", C44:C66, "tournage")</f>
        <v>0</v>
      </c>
      <c r="M126" s="129">
        <f>SUMIFS(N44:N66, B44:B66, "Fret - train", C44:C66, "Finitions &amp; Post-prod")</f>
        <v>1000</v>
      </c>
      <c r="N126" s="130">
        <f t="shared" si="0"/>
        <v>1000</v>
      </c>
    </row>
    <row r="127" spans="8:15" ht="15.75" customHeight="1">
      <c r="J127" s="131" t="s">
        <v>215</v>
      </c>
      <c r="K127" s="132">
        <f>SUMIFS(N44:N66,B44:B66,"Fret - bateau",C44:C66,"prépa")</f>
        <v>0</v>
      </c>
      <c r="L127" s="133">
        <f>SUMIFS(N44:N66, B44:B66, "Fret - bateau", C44:C66, "tournage")</f>
        <v>0</v>
      </c>
      <c r="M127" s="134">
        <f>SUMIFS(N44:N66, B44:B66, "Fret - bateau", C44:C66, "Finitions &amp; Post-prod")</f>
        <v>0</v>
      </c>
      <c r="N127" s="135">
        <f t="shared" si="0"/>
        <v>0</v>
      </c>
    </row>
    <row r="128" spans="8:15" ht="15.75" customHeight="1">
      <c r="J128" s="136" t="s">
        <v>188</v>
      </c>
      <c r="K128" s="137">
        <f t="shared" ref="K128:M128" si="1">SUM(K122:K127)</f>
        <v>1500</v>
      </c>
      <c r="L128" s="137">
        <f t="shared" si="1"/>
        <v>0</v>
      </c>
      <c r="M128" s="137">
        <f t="shared" si="1"/>
        <v>1000</v>
      </c>
    </row>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35">
    <mergeCell ref="L112:M112"/>
    <mergeCell ref="L114:M114"/>
    <mergeCell ref="L115:M115"/>
    <mergeCell ref="L101:M101"/>
    <mergeCell ref="L102:M102"/>
    <mergeCell ref="L104:M104"/>
    <mergeCell ref="L105:M105"/>
    <mergeCell ref="L108:M108"/>
    <mergeCell ref="L109:M109"/>
    <mergeCell ref="L111:M111"/>
    <mergeCell ref="L93:O93"/>
    <mergeCell ref="L95:M95"/>
    <mergeCell ref="L96:M96"/>
    <mergeCell ref="L98:M98"/>
    <mergeCell ref="L99:M99"/>
    <mergeCell ref="D68:F68"/>
    <mergeCell ref="D69:F69"/>
    <mergeCell ref="A72:F72"/>
    <mergeCell ref="L82:M82"/>
    <mergeCell ref="L84:M84"/>
    <mergeCell ref="K68:M68"/>
    <mergeCell ref="K69:M69"/>
    <mergeCell ref="L76:O76"/>
    <mergeCell ref="B77:J90"/>
    <mergeCell ref="L78:M78"/>
    <mergeCell ref="L79:M79"/>
    <mergeCell ref="L81:M81"/>
    <mergeCell ref="L88:M88"/>
    <mergeCell ref="L85:M85"/>
    <mergeCell ref="L87:M87"/>
    <mergeCell ref="A2:F2"/>
    <mergeCell ref="C4:E4"/>
    <mergeCell ref="C5:E5"/>
    <mergeCell ref="B13:F13"/>
    <mergeCell ref="B42:F42"/>
  </mergeCells>
  <pageMargins left="0.75" right="0.75" top="1" bottom="1" header="0" footer="0"/>
  <pageSetup paperSize="9"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500-000000000000}">
          <x14:formula1>
            <xm:f>Données!$D$37:$D$39</xm:f>
          </x14:formula1>
          <xm:sqref>A15:A40 A44:A66</xm:sqref>
        </x14:dataValidation>
        <x14:dataValidation type="list" allowBlank="1" showErrorMessage="1" xr:uid="{00000000-0002-0000-0500-000001000000}">
          <x14:formula1>
            <xm:f>Données!$H$35:$H$37</xm:f>
          </x14:formula1>
          <xm:sqref>B15:B40</xm:sqref>
        </x14:dataValidation>
        <x14:dataValidation type="list" allowBlank="1" showErrorMessage="1" xr:uid="{00000000-0002-0000-0500-000002000000}">
          <x14:formula1>
            <xm:f>Données!$H$38:$H$40</xm:f>
          </x14:formula1>
          <xm:sqref>B44:B66</xm:sqref>
        </x14:dataValidation>
        <x14:dataValidation type="list" allowBlank="1" showErrorMessage="1" xr:uid="{00000000-0002-0000-0500-000003000000}">
          <x14:formula1>
            <xm:f>Données!$D$49:$D$51</xm:f>
          </x14:formula1>
          <xm:sqref>C15:C40 C44:C66</xm:sqref>
        </x14:dataValidation>
        <x14:dataValidation type="list" allowBlank="1" showErrorMessage="1" xr:uid="{00000000-0002-0000-0500-000004000000}">
          <x14:formula1>
            <xm:f>Données!$D$64:$D$67</xm:f>
          </x14:formula1>
          <xm:sqref>G15:G40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D965"/>
  </sheetPr>
  <dimension ref="A1:Z1000"/>
  <sheetViews>
    <sheetView workbookViewId="0">
      <pane xSplit="7" ySplit="11" topLeftCell="H66" activePane="bottomRight" state="frozen"/>
      <selection pane="topRight" activeCell="H1" sqref="H1"/>
      <selection pane="bottomLeft" activeCell="A12" sqref="A12"/>
      <selection pane="bottomRight" activeCell="D16" sqref="D16"/>
    </sheetView>
  </sheetViews>
  <sheetFormatPr baseColWidth="10" defaultColWidth="11.125" defaultRowHeight="15" customHeight="1"/>
  <cols>
    <col min="1" max="1" width="8.5" customWidth="1"/>
    <col min="2" max="11" width="18.5" customWidth="1"/>
    <col min="12" max="12" width="5.875" customWidth="1"/>
    <col min="13" max="13" width="17.5" customWidth="1"/>
    <col min="14" max="26" width="8.625" customWidth="1"/>
  </cols>
  <sheetData>
    <row r="1" spans="1:26" ht="15.75" customHeight="1">
      <c r="A1" s="6"/>
      <c r="B1" s="6"/>
      <c r="C1" s="6"/>
      <c r="D1" s="6"/>
      <c r="E1" s="6"/>
      <c r="F1" s="6"/>
      <c r="G1" s="6"/>
      <c r="H1" s="6"/>
      <c r="I1" s="6"/>
      <c r="J1" s="6"/>
      <c r="K1" s="6"/>
      <c r="L1" s="6"/>
      <c r="M1" s="6"/>
      <c r="N1" s="6"/>
      <c r="O1" s="6"/>
      <c r="P1" s="6"/>
      <c r="Q1" s="6"/>
      <c r="R1" s="6"/>
      <c r="S1" s="6"/>
      <c r="T1" s="6"/>
      <c r="U1" s="6"/>
      <c r="V1" s="6"/>
      <c r="W1" s="6"/>
      <c r="X1" s="6"/>
      <c r="Y1" s="6"/>
      <c r="Z1" s="6"/>
    </row>
    <row r="2" spans="1:26" ht="15.75" customHeight="1">
      <c r="A2" s="609" t="s">
        <v>239</v>
      </c>
      <c r="B2" s="516"/>
      <c r="C2" s="516"/>
      <c r="D2" s="516"/>
      <c r="E2" s="516"/>
      <c r="F2" s="516"/>
      <c r="G2" s="517"/>
      <c r="H2" s="6"/>
      <c r="I2" s="6"/>
      <c r="J2" s="6"/>
      <c r="K2" s="6"/>
      <c r="L2" s="6"/>
      <c r="M2" s="6"/>
      <c r="N2" s="6"/>
      <c r="O2" s="6"/>
      <c r="P2" s="6"/>
      <c r="Q2" s="6"/>
      <c r="R2" s="6"/>
      <c r="S2" s="6"/>
      <c r="T2" s="6"/>
      <c r="U2" s="6"/>
      <c r="V2" s="6"/>
      <c r="W2" s="6"/>
      <c r="X2" s="6"/>
      <c r="Y2" s="6"/>
      <c r="Z2" s="6"/>
    </row>
    <row r="3" spans="1:26" ht="15.75" customHeight="1">
      <c r="A3" s="6"/>
      <c r="B3" s="6"/>
      <c r="C3" s="6"/>
      <c r="D3" s="6"/>
      <c r="E3" s="6"/>
      <c r="F3" s="6"/>
      <c r="G3" s="6"/>
      <c r="H3" s="6"/>
      <c r="I3" s="6"/>
      <c r="J3" s="6"/>
      <c r="K3" s="6"/>
      <c r="L3" s="6"/>
      <c r="M3" s="6"/>
      <c r="N3" s="6"/>
      <c r="O3" s="6"/>
      <c r="P3" s="6"/>
      <c r="Q3" s="6"/>
      <c r="R3" s="6"/>
      <c r="S3" s="6"/>
      <c r="T3" s="6"/>
      <c r="U3" s="6"/>
      <c r="V3" s="6"/>
      <c r="W3" s="6"/>
      <c r="X3" s="6"/>
      <c r="Y3" s="6"/>
      <c r="Z3" s="6"/>
    </row>
    <row r="4" spans="1:26" ht="15.75" customHeight="1">
      <c r="A4" s="60"/>
      <c r="B4" s="6"/>
      <c r="C4" s="586" t="s">
        <v>164</v>
      </c>
      <c r="D4" s="587"/>
      <c r="E4" s="588"/>
      <c r="F4" s="6"/>
      <c r="G4" s="6"/>
      <c r="H4" s="6"/>
      <c r="I4" s="6"/>
      <c r="J4" s="60"/>
      <c r="K4" s="60"/>
      <c r="L4" s="60"/>
      <c r="M4" s="60"/>
      <c r="N4" s="6"/>
      <c r="O4" s="6"/>
      <c r="P4" s="6"/>
      <c r="Q4" s="6"/>
      <c r="R4" s="6"/>
      <c r="S4" s="6"/>
      <c r="T4" s="6"/>
      <c r="U4" s="6"/>
      <c r="V4" s="6"/>
      <c r="W4" s="6"/>
      <c r="X4" s="6"/>
      <c r="Y4" s="6"/>
      <c r="Z4" s="6"/>
    </row>
    <row r="5" spans="1:26" ht="15.75" customHeight="1">
      <c r="A5" s="6"/>
      <c r="B5" s="6"/>
      <c r="C5" s="589" t="s">
        <v>165</v>
      </c>
      <c r="D5" s="590"/>
      <c r="E5" s="591"/>
      <c r="F5" s="6"/>
      <c r="G5" s="6"/>
      <c r="H5" s="6"/>
      <c r="I5" s="6"/>
      <c r="J5" s="6"/>
      <c r="K5" s="6"/>
      <c r="L5" s="6"/>
      <c r="M5" s="6"/>
      <c r="N5" s="6"/>
      <c r="O5" s="6"/>
      <c r="P5" s="6"/>
      <c r="Q5" s="6"/>
      <c r="R5" s="6"/>
      <c r="S5" s="6"/>
      <c r="T5" s="6"/>
      <c r="U5" s="6"/>
      <c r="V5" s="6"/>
      <c r="W5" s="6"/>
      <c r="X5" s="6"/>
      <c r="Y5" s="6"/>
      <c r="Z5" s="6"/>
    </row>
    <row r="6" spans="1:26" ht="15.75" customHeight="1">
      <c r="A6" s="6"/>
      <c r="B6" s="6"/>
      <c r="C6" s="6"/>
      <c r="D6" s="6"/>
      <c r="E6" s="6"/>
      <c r="F6" s="6"/>
      <c r="G6" s="6"/>
      <c r="H6" s="6"/>
      <c r="I6" s="6"/>
      <c r="J6" s="6"/>
      <c r="K6" s="6"/>
      <c r="L6" s="6"/>
      <c r="M6" s="6"/>
      <c r="N6" s="6"/>
      <c r="O6" s="6"/>
      <c r="P6" s="6"/>
      <c r="Q6" s="6"/>
      <c r="R6" s="6"/>
      <c r="S6" s="6"/>
      <c r="T6" s="6"/>
      <c r="U6" s="6"/>
      <c r="V6" s="6"/>
      <c r="W6" s="6"/>
      <c r="X6" s="6"/>
      <c r="Y6" s="6"/>
      <c r="Z6" s="6"/>
    </row>
    <row r="7" spans="1:26" ht="15.75" customHeight="1">
      <c r="A7" s="12"/>
      <c r="B7" s="33" t="s">
        <v>111</v>
      </c>
      <c r="C7" s="12"/>
      <c r="D7" s="12"/>
      <c r="E7" s="12"/>
      <c r="F7" s="12"/>
      <c r="G7" s="12"/>
      <c r="H7" s="12"/>
      <c r="I7" s="12"/>
      <c r="J7" s="12"/>
      <c r="K7" s="12"/>
      <c r="L7" s="12"/>
      <c r="M7" s="12"/>
      <c r="N7" s="12"/>
      <c r="O7" s="12"/>
      <c r="P7" s="12"/>
      <c r="Q7" s="12"/>
      <c r="R7" s="12"/>
      <c r="S7" s="12"/>
      <c r="T7" s="12"/>
      <c r="U7" s="12"/>
      <c r="V7" s="12"/>
      <c r="W7" s="12"/>
      <c r="X7" s="12"/>
      <c r="Y7" s="12"/>
      <c r="Z7" s="12"/>
    </row>
    <row r="8" spans="1:26" ht="15.75" customHeight="1">
      <c r="A8" s="12"/>
      <c r="B8" s="34" t="s">
        <v>112</v>
      </c>
      <c r="C8" s="12"/>
      <c r="D8" s="12"/>
      <c r="E8" s="12"/>
      <c r="F8" s="12"/>
      <c r="G8" s="12"/>
      <c r="H8" s="12"/>
      <c r="I8" s="12"/>
      <c r="J8" s="12"/>
      <c r="K8" s="12"/>
      <c r="L8" s="12"/>
      <c r="M8" s="12"/>
      <c r="N8" s="12"/>
      <c r="O8" s="12"/>
      <c r="P8" s="12"/>
      <c r="Q8" s="12"/>
      <c r="R8" s="12"/>
      <c r="S8" s="12"/>
      <c r="T8" s="12"/>
      <c r="U8" s="12"/>
      <c r="V8" s="12"/>
      <c r="W8" s="12"/>
      <c r="X8" s="12"/>
      <c r="Y8" s="12"/>
      <c r="Z8" s="12"/>
    </row>
    <row r="9" spans="1:26" ht="15.75" customHeight="1">
      <c r="A9" s="12"/>
      <c r="B9" s="3" t="s">
        <v>786</v>
      </c>
      <c r="C9" s="12"/>
      <c r="D9" s="12"/>
      <c r="E9" s="12"/>
      <c r="F9" s="12"/>
      <c r="G9" s="12"/>
      <c r="H9" s="12"/>
      <c r="I9" s="12"/>
      <c r="J9" s="12"/>
      <c r="K9" s="12"/>
      <c r="L9" s="12"/>
      <c r="M9" s="12"/>
      <c r="N9" s="12"/>
      <c r="O9" s="12"/>
      <c r="P9" s="12"/>
      <c r="Q9" s="12"/>
      <c r="R9" s="12"/>
      <c r="S9" s="12"/>
      <c r="T9" s="12"/>
      <c r="U9" s="12"/>
      <c r="V9" s="12"/>
      <c r="W9" s="12"/>
      <c r="X9" s="12"/>
      <c r="Y9" s="12"/>
      <c r="Z9" s="12"/>
    </row>
    <row r="10" spans="1:26" ht="15.75" customHeight="1">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60" customHeight="1">
      <c r="A11" s="61" t="s">
        <v>114</v>
      </c>
      <c r="B11" s="62" t="s">
        <v>240</v>
      </c>
      <c r="C11" s="63" t="s">
        <v>167</v>
      </c>
      <c r="D11" s="63" t="s">
        <v>168</v>
      </c>
      <c r="E11" s="63" t="s">
        <v>169</v>
      </c>
      <c r="F11" s="63" t="s">
        <v>170</v>
      </c>
      <c r="G11" s="63" t="s">
        <v>171</v>
      </c>
      <c r="H11" s="63" t="s">
        <v>172</v>
      </c>
      <c r="I11" s="62" t="s">
        <v>173</v>
      </c>
      <c r="J11" s="62" t="s">
        <v>174</v>
      </c>
      <c r="K11" s="62" t="s">
        <v>175</v>
      </c>
      <c r="L11" s="6"/>
      <c r="M11" s="6"/>
      <c r="N11" s="6"/>
      <c r="O11" s="6"/>
      <c r="P11" s="6"/>
      <c r="Q11" s="6"/>
      <c r="R11" s="6"/>
      <c r="S11" s="6"/>
      <c r="T11" s="6"/>
      <c r="U11" s="6"/>
      <c r="V11" s="6"/>
      <c r="W11" s="6"/>
      <c r="X11" s="6"/>
      <c r="Y11" s="6"/>
      <c r="Z11" s="6"/>
    </row>
    <row r="12" spans="1:26" ht="15.75" customHeight="1">
      <c r="A12" s="64" t="s">
        <v>136</v>
      </c>
      <c r="B12" s="138" t="s">
        <v>148</v>
      </c>
      <c r="C12" s="8"/>
      <c r="D12" s="8"/>
      <c r="E12" s="8"/>
      <c r="F12" s="8"/>
      <c r="G12" s="8"/>
      <c r="H12" s="44" t="s">
        <v>186</v>
      </c>
      <c r="I12" s="72"/>
      <c r="J12" s="72"/>
      <c r="K12" s="68">
        <v>50</v>
      </c>
      <c r="L12" s="6"/>
      <c r="M12" s="6"/>
      <c r="N12" s="6"/>
      <c r="O12" s="6"/>
      <c r="P12" s="6"/>
      <c r="Q12" s="6"/>
      <c r="R12" s="6"/>
      <c r="S12" s="6"/>
      <c r="T12" s="6"/>
      <c r="U12" s="6"/>
      <c r="V12" s="6"/>
      <c r="W12" s="6"/>
      <c r="X12" s="6"/>
      <c r="Y12" s="6"/>
      <c r="Z12" s="6"/>
    </row>
    <row r="13" spans="1:26" ht="15.75" customHeight="1">
      <c r="A13" s="64"/>
      <c r="B13" s="138"/>
      <c r="C13" s="8"/>
      <c r="D13" s="8"/>
      <c r="E13" s="8"/>
      <c r="F13" s="8"/>
      <c r="G13" s="8"/>
      <c r="H13" s="44"/>
      <c r="I13" s="72"/>
      <c r="J13" s="72"/>
      <c r="K13" s="68"/>
      <c r="L13" s="6"/>
      <c r="M13" s="6"/>
      <c r="N13" s="6"/>
      <c r="O13" s="6"/>
      <c r="P13" s="6"/>
      <c r="Q13" s="6"/>
      <c r="R13" s="6"/>
      <c r="S13" s="6"/>
      <c r="T13" s="6"/>
      <c r="U13" s="6"/>
      <c r="V13" s="6"/>
      <c r="W13" s="6"/>
      <c r="X13" s="6"/>
      <c r="Y13" s="6"/>
      <c r="Z13" s="6"/>
    </row>
    <row r="14" spans="1:26" ht="15.75" customHeight="1">
      <c r="A14" s="64"/>
      <c r="B14" s="138"/>
      <c r="C14" s="8"/>
      <c r="D14" s="8"/>
      <c r="E14" s="8"/>
      <c r="F14" s="8"/>
      <c r="G14" s="8"/>
      <c r="H14" s="44"/>
      <c r="I14" s="72"/>
      <c r="J14" s="72"/>
      <c r="K14" s="68"/>
      <c r="L14" s="6"/>
      <c r="M14" s="6"/>
      <c r="N14" s="6"/>
      <c r="O14" s="6"/>
      <c r="P14" s="6"/>
      <c r="Q14" s="6"/>
      <c r="R14" s="6"/>
      <c r="S14" s="6"/>
      <c r="T14" s="6"/>
      <c r="U14" s="6"/>
      <c r="V14" s="6"/>
      <c r="W14" s="6"/>
      <c r="X14" s="6"/>
      <c r="Y14" s="6"/>
      <c r="Z14" s="6"/>
    </row>
    <row r="15" spans="1:26" ht="15.75" customHeight="1">
      <c r="A15" s="64"/>
      <c r="B15" s="138"/>
      <c r="C15" s="8"/>
      <c r="D15" s="8"/>
      <c r="E15" s="8"/>
      <c r="F15" s="8"/>
      <c r="G15" s="8"/>
      <c r="H15" s="44"/>
      <c r="I15" s="72"/>
      <c r="J15" s="72"/>
      <c r="K15" s="68"/>
      <c r="L15" s="6"/>
      <c r="M15" s="6"/>
      <c r="N15" s="6"/>
      <c r="O15" s="6"/>
      <c r="P15" s="6"/>
      <c r="Q15" s="6"/>
      <c r="R15" s="6"/>
      <c r="S15" s="6"/>
      <c r="T15" s="6"/>
      <c r="U15" s="6"/>
      <c r="V15" s="6"/>
      <c r="W15" s="6"/>
      <c r="X15" s="6"/>
      <c r="Y15" s="6"/>
      <c r="Z15" s="6"/>
    </row>
    <row r="16" spans="1:26" ht="15.75" customHeight="1">
      <c r="A16" s="64"/>
      <c r="B16" s="138"/>
      <c r="C16" s="8"/>
      <c r="D16" s="8"/>
      <c r="E16" s="8"/>
      <c r="F16" s="8"/>
      <c r="G16" s="8"/>
      <c r="H16" s="44"/>
      <c r="I16" s="72"/>
      <c r="J16" s="72"/>
      <c r="K16" s="68"/>
      <c r="L16" s="6"/>
      <c r="M16" s="6"/>
      <c r="N16" s="6"/>
      <c r="O16" s="6"/>
      <c r="P16" s="6"/>
      <c r="Q16" s="6"/>
      <c r="R16" s="6"/>
      <c r="S16" s="6"/>
      <c r="T16" s="6"/>
      <c r="U16" s="6"/>
      <c r="V16" s="6"/>
      <c r="W16" s="6"/>
      <c r="X16" s="6"/>
      <c r="Y16" s="6"/>
      <c r="Z16" s="6"/>
    </row>
    <row r="17" spans="1:26" ht="15.75" customHeight="1">
      <c r="A17" s="64"/>
      <c r="B17" s="138"/>
      <c r="C17" s="8"/>
      <c r="D17" s="8"/>
      <c r="E17" s="8"/>
      <c r="F17" s="8"/>
      <c r="G17" s="8"/>
      <c r="H17" s="44"/>
      <c r="I17" s="72"/>
      <c r="J17" s="72"/>
      <c r="K17" s="68"/>
      <c r="L17" s="6"/>
      <c r="M17" s="6"/>
      <c r="N17" s="6"/>
      <c r="O17" s="6"/>
      <c r="P17" s="6"/>
      <c r="Q17" s="6"/>
      <c r="R17" s="6"/>
      <c r="S17" s="6"/>
      <c r="T17" s="6"/>
      <c r="U17" s="6"/>
      <c r="V17" s="6"/>
      <c r="W17" s="6"/>
      <c r="X17" s="6"/>
      <c r="Y17" s="6"/>
      <c r="Z17" s="6"/>
    </row>
    <row r="18" spans="1:26" ht="15.75" customHeight="1">
      <c r="A18" s="64"/>
      <c r="B18" s="138"/>
      <c r="C18" s="8"/>
      <c r="D18" s="8"/>
      <c r="E18" s="8"/>
      <c r="F18" s="8"/>
      <c r="G18" s="8"/>
      <c r="H18" s="44"/>
      <c r="I18" s="72"/>
      <c r="J18" s="72"/>
      <c r="K18" s="68"/>
      <c r="L18" s="6"/>
      <c r="M18" s="6"/>
      <c r="N18" s="6"/>
      <c r="O18" s="6"/>
      <c r="P18" s="6"/>
      <c r="Q18" s="6"/>
      <c r="R18" s="6"/>
      <c r="S18" s="6"/>
      <c r="T18" s="6"/>
      <c r="U18" s="6"/>
      <c r="V18" s="6"/>
      <c r="W18" s="6"/>
      <c r="X18" s="6"/>
      <c r="Y18" s="6"/>
      <c r="Z18" s="6"/>
    </row>
    <row r="19" spans="1:26" ht="15.75" customHeight="1">
      <c r="A19" s="64"/>
      <c r="B19" s="138"/>
      <c r="C19" s="8"/>
      <c r="D19" s="8"/>
      <c r="E19" s="8"/>
      <c r="F19" s="8"/>
      <c r="G19" s="8"/>
      <c r="H19" s="44"/>
      <c r="I19" s="72"/>
      <c r="J19" s="72"/>
      <c r="K19" s="68"/>
      <c r="L19" s="6"/>
      <c r="M19" s="6"/>
      <c r="N19" s="6"/>
      <c r="O19" s="6"/>
      <c r="P19" s="6"/>
      <c r="Q19" s="6"/>
      <c r="R19" s="6"/>
      <c r="S19" s="6"/>
      <c r="T19" s="6"/>
      <c r="U19" s="6"/>
      <c r="V19" s="6"/>
      <c r="W19" s="6"/>
      <c r="X19" s="6"/>
      <c r="Y19" s="6"/>
      <c r="Z19" s="6"/>
    </row>
    <row r="20" spans="1:26" ht="15.75" customHeight="1">
      <c r="A20" s="64"/>
      <c r="B20" s="138"/>
      <c r="C20" s="8"/>
      <c r="D20" s="8"/>
      <c r="E20" s="8"/>
      <c r="F20" s="8"/>
      <c r="G20" s="8"/>
      <c r="H20" s="44"/>
      <c r="I20" s="72"/>
      <c r="J20" s="72"/>
      <c r="K20" s="68"/>
      <c r="L20" s="6"/>
      <c r="M20" s="6"/>
      <c r="N20" s="6"/>
      <c r="O20" s="6"/>
      <c r="P20" s="6"/>
      <c r="Q20" s="6"/>
      <c r="R20" s="6"/>
      <c r="S20" s="6"/>
      <c r="T20" s="6"/>
      <c r="U20" s="6"/>
      <c r="V20" s="6"/>
      <c r="W20" s="6"/>
      <c r="X20" s="6"/>
      <c r="Y20" s="6"/>
      <c r="Z20" s="6"/>
    </row>
    <row r="21" spans="1:26" ht="15.75" customHeight="1">
      <c r="A21" s="64"/>
      <c r="B21" s="138"/>
      <c r="C21" s="8"/>
      <c r="D21" s="8"/>
      <c r="E21" s="8"/>
      <c r="F21" s="8"/>
      <c r="G21" s="8"/>
      <c r="H21" s="44"/>
      <c r="I21" s="72"/>
      <c r="J21" s="72"/>
      <c r="K21" s="68"/>
      <c r="L21" s="6"/>
      <c r="M21" s="6"/>
      <c r="N21" s="6"/>
      <c r="O21" s="6"/>
      <c r="P21" s="6"/>
      <c r="Q21" s="6"/>
      <c r="R21" s="6"/>
      <c r="S21" s="6"/>
      <c r="T21" s="6"/>
      <c r="U21" s="6"/>
      <c r="V21" s="6"/>
      <c r="W21" s="6"/>
      <c r="X21" s="6"/>
      <c r="Y21" s="6"/>
      <c r="Z21" s="6"/>
    </row>
    <row r="22" spans="1:26" ht="15.75" customHeight="1">
      <c r="A22" s="64"/>
      <c r="B22" s="138"/>
      <c r="C22" s="8"/>
      <c r="D22" s="8"/>
      <c r="E22" s="8"/>
      <c r="F22" s="8"/>
      <c r="G22" s="8"/>
      <c r="H22" s="44"/>
      <c r="I22" s="72"/>
      <c r="J22" s="72"/>
      <c r="K22" s="68"/>
      <c r="L22" s="6"/>
      <c r="M22" s="6"/>
      <c r="N22" s="6"/>
      <c r="O22" s="6"/>
      <c r="P22" s="6"/>
      <c r="Q22" s="6"/>
      <c r="R22" s="6"/>
      <c r="S22" s="6"/>
      <c r="T22" s="6"/>
      <c r="U22" s="6"/>
      <c r="V22" s="6"/>
      <c r="W22" s="6"/>
      <c r="X22" s="6"/>
      <c r="Y22" s="6"/>
      <c r="Z22" s="6"/>
    </row>
    <row r="23" spans="1:26" ht="15.75" customHeight="1">
      <c r="A23" s="64"/>
      <c r="B23" s="138"/>
      <c r="C23" s="8"/>
      <c r="D23" s="8"/>
      <c r="E23" s="8"/>
      <c r="F23" s="8"/>
      <c r="G23" s="8"/>
      <c r="H23" s="44"/>
      <c r="I23" s="72"/>
      <c r="J23" s="72"/>
      <c r="K23" s="68"/>
      <c r="L23" s="6"/>
      <c r="M23" s="6"/>
      <c r="N23" s="6"/>
      <c r="O23" s="6"/>
      <c r="P23" s="6"/>
      <c r="Q23" s="6"/>
      <c r="R23" s="6"/>
      <c r="S23" s="6"/>
      <c r="T23" s="6"/>
      <c r="U23" s="6"/>
      <c r="V23" s="6"/>
      <c r="W23" s="6"/>
      <c r="X23" s="6"/>
      <c r="Y23" s="6"/>
      <c r="Z23" s="6"/>
    </row>
    <row r="24" spans="1:26" ht="15.75" customHeight="1">
      <c r="A24" s="64"/>
      <c r="B24" s="138"/>
      <c r="C24" s="8"/>
      <c r="D24" s="8"/>
      <c r="E24" s="8"/>
      <c r="F24" s="8"/>
      <c r="G24" s="8"/>
      <c r="H24" s="44"/>
      <c r="I24" s="72"/>
      <c r="J24" s="72"/>
      <c r="K24" s="68"/>
      <c r="L24" s="6"/>
      <c r="M24" s="6"/>
      <c r="N24" s="6"/>
      <c r="O24" s="6"/>
      <c r="P24" s="6"/>
      <c r="Q24" s="6"/>
      <c r="R24" s="6"/>
      <c r="S24" s="6"/>
      <c r="T24" s="6"/>
      <c r="U24" s="6"/>
      <c r="V24" s="6"/>
      <c r="W24" s="6"/>
      <c r="X24" s="6"/>
      <c r="Y24" s="6"/>
      <c r="Z24" s="6"/>
    </row>
    <row r="25" spans="1:26" ht="15.75" customHeight="1">
      <c r="A25" s="64"/>
      <c r="B25" s="138"/>
      <c r="C25" s="8"/>
      <c r="D25" s="8"/>
      <c r="E25" s="8"/>
      <c r="F25" s="8"/>
      <c r="G25" s="8"/>
      <c r="H25" s="44"/>
      <c r="I25" s="72"/>
      <c r="J25" s="72"/>
      <c r="K25" s="68"/>
      <c r="L25" s="6"/>
      <c r="M25" s="6"/>
      <c r="N25" s="6"/>
      <c r="O25" s="6"/>
      <c r="P25" s="6"/>
      <c r="Q25" s="6"/>
      <c r="R25" s="6"/>
      <c r="S25" s="6"/>
      <c r="T25" s="6"/>
      <c r="U25" s="6"/>
      <c r="V25" s="6"/>
      <c r="W25" s="6"/>
      <c r="X25" s="6"/>
      <c r="Y25" s="6"/>
      <c r="Z25" s="6"/>
    </row>
    <row r="26" spans="1:26" ht="15.75" customHeight="1">
      <c r="A26" s="64"/>
      <c r="B26" s="138"/>
      <c r="C26" s="8"/>
      <c r="D26" s="8"/>
      <c r="E26" s="8"/>
      <c r="F26" s="8"/>
      <c r="G26" s="8"/>
      <c r="H26" s="44"/>
      <c r="I26" s="72"/>
      <c r="J26" s="72"/>
      <c r="K26" s="68"/>
      <c r="L26" s="6"/>
      <c r="M26" s="6"/>
      <c r="N26" s="6"/>
      <c r="O26" s="6"/>
      <c r="P26" s="6"/>
      <c r="Q26" s="6"/>
      <c r="R26" s="6"/>
      <c r="S26" s="6"/>
      <c r="T26" s="6"/>
      <c r="U26" s="6"/>
      <c r="V26" s="6"/>
      <c r="W26" s="6"/>
      <c r="X26" s="6"/>
      <c r="Y26" s="6"/>
      <c r="Z26" s="6"/>
    </row>
    <row r="27" spans="1:26" ht="15.75" customHeight="1">
      <c r="A27" s="64"/>
      <c r="B27" s="138"/>
      <c r="C27" s="8"/>
      <c r="D27" s="8"/>
      <c r="E27" s="8"/>
      <c r="F27" s="8"/>
      <c r="G27" s="8"/>
      <c r="H27" s="44"/>
      <c r="I27" s="72"/>
      <c r="J27" s="72"/>
      <c r="K27" s="68"/>
      <c r="L27" s="6"/>
      <c r="M27" s="6"/>
      <c r="N27" s="6"/>
      <c r="O27" s="6"/>
      <c r="P27" s="6"/>
      <c r="Q27" s="6"/>
      <c r="R27" s="6"/>
      <c r="S27" s="6"/>
      <c r="T27" s="6"/>
      <c r="U27" s="6"/>
      <c r="V27" s="6"/>
      <c r="W27" s="6"/>
      <c r="X27" s="6"/>
      <c r="Y27" s="6"/>
      <c r="Z27" s="6"/>
    </row>
    <row r="28" spans="1:26" ht="15.75" customHeight="1">
      <c r="A28" s="64"/>
      <c r="B28" s="138"/>
      <c r="C28" s="8"/>
      <c r="D28" s="8"/>
      <c r="E28" s="8"/>
      <c r="F28" s="8"/>
      <c r="G28" s="8"/>
      <c r="H28" s="44"/>
      <c r="I28" s="72"/>
      <c r="J28" s="72"/>
      <c r="K28" s="68"/>
      <c r="L28" s="6"/>
      <c r="M28" s="6"/>
      <c r="N28" s="6"/>
      <c r="O28" s="6"/>
      <c r="P28" s="6"/>
      <c r="Q28" s="6"/>
      <c r="R28" s="6"/>
      <c r="S28" s="6"/>
      <c r="T28" s="6"/>
      <c r="U28" s="6"/>
      <c r="V28" s="6"/>
      <c r="W28" s="6"/>
      <c r="X28" s="6"/>
      <c r="Y28" s="6"/>
      <c r="Z28" s="6"/>
    </row>
    <row r="29" spans="1:26" ht="15.75" customHeight="1">
      <c r="A29" s="64"/>
      <c r="B29" s="138"/>
      <c r="C29" s="8"/>
      <c r="D29" s="8"/>
      <c r="E29" s="8"/>
      <c r="F29" s="8"/>
      <c r="G29" s="8"/>
      <c r="H29" s="44"/>
      <c r="I29" s="72"/>
      <c r="J29" s="72"/>
      <c r="K29" s="68"/>
      <c r="L29" s="6"/>
      <c r="M29" s="6"/>
      <c r="N29" s="6"/>
      <c r="O29" s="6"/>
      <c r="P29" s="6"/>
      <c r="Q29" s="6"/>
      <c r="R29" s="6"/>
      <c r="S29" s="6"/>
      <c r="T29" s="6"/>
      <c r="U29" s="6"/>
      <c r="V29" s="6"/>
      <c r="W29" s="6"/>
      <c r="X29" s="6"/>
      <c r="Y29" s="6"/>
      <c r="Z29" s="6"/>
    </row>
    <row r="30" spans="1:26" ht="15.75" customHeight="1">
      <c r="A30" s="64"/>
      <c r="B30" s="138"/>
      <c r="C30" s="8"/>
      <c r="D30" s="8"/>
      <c r="E30" s="8"/>
      <c r="F30" s="8"/>
      <c r="G30" s="8"/>
      <c r="H30" s="44"/>
      <c r="I30" s="72"/>
      <c r="J30" s="72"/>
      <c r="K30" s="68"/>
      <c r="L30" s="6"/>
      <c r="M30" s="6"/>
      <c r="N30" s="6"/>
      <c r="O30" s="6"/>
      <c r="P30" s="6"/>
      <c r="Q30" s="6"/>
      <c r="R30" s="6"/>
      <c r="S30" s="6"/>
      <c r="T30" s="6"/>
      <c r="U30" s="6"/>
      <c r="V30" s="6"/>
      <c r="W30" s="6"/>
      <c r="X30" s="6"/>
      <c r="Y30" s="6"/>
      <c r="Z30" s="6"/>
    </row>
    <row r="31" spans="1:26" ht="15.75" customHeight="1">
      <c r="A31" s="64"/>
      <c r="B31" s="138"/>
      <c r="C31" s="8"/>
      <c r="D31" s="8"/>
      <c r="E31" s="8"/>
      <c r="F31" s="8"/>
      <c r="G31" s="8"/>
      <c r="H31" s="44"/>
      <c r="I31" s="72"/>
      <c r="J31" s="72"/>
      <c r="K31" s="68"/>
      <c r="L31" s="6"/>
      <c r="M31" s="6"/>
      <c r="N31" s="6"/>
      <c r="O31" s="6"/>
      <c r="P31" s="6"/>
      <c r="Q31" s="6"/>
      <c r="R31" s="6"/>
      <c r="S31" s="6"/>
      <c r="T31" s="6"/>
      <c r="U31" s="6"/>
      <c r="V31" s="6"/>
      <c r="W31" s="6"/>
      <c r="X31" s="6"/>
      <c r="Y31" s="6"/>
      <c r="Z31" s="6"/>
    </row>
    <row r="32" spans="1:26" ht="15.75" customHeight="1">
      <c r="A32" s="64"/>
      <c r="B32" s="138"/>
      <c r="C32" s="8"/>
      <c r="D32" s="8"/>
      <c r="E32" s="8"/>
      <c r="F32" s="8"/>
      <c r="G32" s="8"/>
      <c r="H32" s="44"/>
      <c r="I32" s="72"/>
      <c r="J32" s="72"/>
      <c r="K32" s="68"/>
      <c r="L32" s="6"/>
      <c r="M32" s="6"/>
      <c r="N32" s="6"/>
      <c r="O32" s="6"/>
      <c r="P32" s="6"/>
      <c r="Q32" s="6"/>
      <c r="R32" s="6"/>
      <c r="S32" s="6"/>
      <c r="T32" s="6"/>
      <c r="U32" s="6"/>
      <c r="V32" s="6"/>
      <c r="W32" s="6"/>
      <c r="X32" s="6"/>
      <c r="Y32" s="6"/>
      <c r="Z32" s="6"/>
    </row>
    <row r="33" spans="1:26" ht="15.75" customHeight="1">
      <c r="A33" s="64"/>
      <c r="B33" s="138"/>
      <c r="C33" s="8"/>
      <c r="D33" s="8"/>
      <c r="E33" s="8"/>
      <c r="F33" s="8"/>
      <c r="G33" s="8"/>
      <c r="H33" s="44"/>
      <c r="I33" s="72"/>
      <c r="J33" s="72"/>
      <c r="K33" s="68"/>
      <c r="L33" s="6"/>
      <c r="M33" s="6"/>
      <c r="N33" s="6"/>
      <c r="O33" s="6"/>
      <c r="P33" s="6"/>
      <c r="Q33" s="6"/>
      <c r="R33" s="6"/>
      <c r="S33" s="6"/>
      <c r="T33" s="6"/>
      <c r="U33" s="6"/>
      <c r="V33" s="6"/>
      <c r="W33" s="6"/>
      <c r="X33" s="6"/>
      <c r="Y33" s="6"/>
      <c r="Z33" s="6"/>
    </row>
    <row r="34" spans="1:26" ht="15.75" customHeight="1">
      <c r="A34" s="64"/>
      <c r="B34" s="138"/>
      <c r="C34" s="8"/>
      <c r="D34" s="8"/>
      <c r="E34" s="8"/>
      <c r="F34" s="8"/>
      <c r="G34" s="8"/>
      <c r="H34" s="44"/>
      <c r="I34" s="72"/>
      <c r="J34" s="72"/>
      <c r="K34" s="68"/>
      <c r="L34" s="6"/>
      <c r="M34" s="6"/>
      <c r="N34" s="6"/>
      <c r="O34" s="6"/>
      <c r="P34" s="6"/>
      <c r="Q34" s="6"/>
      <c r="R34" s="6"/>
      <c r="S34" s="6"/>
      <c r="T34" s="6"/>
      <c r="U34" s="6"/>
      <c r="V34" s="6"/>
      <c r="W34" s="6"/>
      <c r="X34" s="6"/>
      <c r="Y34" s="6"/>
      <c r="Z34" s="6"/>
    </row>
    <row r="35" spans="1:26" ht="15.75" customHeight="1">
      <c r="A35" s="64"/>
      <c r="B35" s="138"/>
      <c r="C35" s="8"/>
      <c r="D35" s="8"/>
      <c r="E35" s="8"/>
      <c r="F35" s="8"/>
      <c r="G35" s="8"/>
      <c r="H35" s="44"/>
      <c r="I35" s="72"/>
      <c r="J35" s="72"/>
      <c r="K35" s="68"/>
      <c r="L35" s="6"/>
      <c r="M35" s="6"/>
      <c r="N35" s="6"/>
      <c r="O35" s="6"/>
      <c r="P35" s="6"/>
      <c r="Q35" s="6"/>
      <c r="R35" s="6"/>
      <c r="S35" s="6"/>
      <c r="T35" s="6"/>
      <c r="U35" s="6"/>
      <c r="V35" s="6"/>
      <c r="W35" s="6"/>
      <c r="X35" s="6"/>
      <c r="Y35" s="6"/>
      <c r="Z35" s="6"/>
    </row>
    <row r="36" spans="1:26" ht="15.75" customHeight="1">
      <c r="A36" s="64"/>
      <c r="B36" s="138"/>
      <c r="C36" s="8"/>
      <c r="D36" s="8"/>
      <c r="E36" s="8"/>
      <c r="F36" s="8"/>
      <c r="G36" s="8"/>
      <c r="H36" s="44"/>
      <c r="I36" s="72"/>
      <c r="J36" s="72"/>
      <c r="K36" s="68"/>
      <c r="L36" s="6"/>
      <c r="M36" s="6"/>
      <c r="N36" s="6"/>
      <c r="O36" s="6"/>
      <c r="P36" s="6"/>
      <c r="Q36" s="6"/>
      <c r="R36" s="6"/>
      <c r="S36" s="6"/>
      <c r="T36" s="6"/>
      <c r="U36" s="6"/>
      <c r="V36" s="6"/>
      <c r="W36" s="6"/>
      <c r="X36" s="6"/>
      <c r="Y36" s="6"/>
      <c r="Z36" s="6"/>
    </row>
    <row r="37" spans="1:26" ht="15.75" customHeight="1">
      <c r="A37" s="64"/>
      <c r="B37" s="138"/>
      <c r="C37" s="8"/>
      <c r="D37" s="8"/>
      <c r="E37" s="8"/>
      <c r="F37" s="8"/>
      <c r="G37" s="8"/>
      <c r="H37" s="44"/>
      <c r="I37" s="72"/>
      <c r="J37" s="72"/>
      <c r="K37" s="68"/>
      <c r="L37" s="6"/>
      <c r="M37" s="6"/>
      <c r="N37" s="6"/>
      <c r="O37" s="6"/>
      <c r="P37" s="6"/>
      <c r="Q37" s="6"/>
      <c r="R37" s="6"/>
      <c r="S37" s="6"/>
      <c r="T37" s="6"/>
      <c r="U37" s="6"/>
      <c r="V37" s="6"/>
      <c r="W37" s="6"/>
      <c r="X37" s="6"/>
      <c r="Y37" s="6"/>
      <c r="Z37" s="6"/>
    </row>
    <row r="38" spans="1:26" ht="15.75" customHeight="1">
      <c r="A38" s="64"/>
      <c r="B38" s="138"/>
      <c r="C38" s="8"/>
      <c r="D38" s="8"/>
      <c r="E38" s="8"/>
      <c r="F38" s="8"/>
      <c r="G38" s="8"/>
      <c r="H38" s="44"/>
      <c r="I38" s="72"/>
      <c r="J38" s="72"/>
      <c r="K38" s="68"/>
      <c r="L38" s="6"/>
      <c r="M38" s="6"/>
      <c r="N38" s="6"/>
      <c r="O38" s="6"/>
      <c r="P38" s="6"/>
      <c r="Q38" s="6"/>
      <c r="R38" s="6"/>
      <c r="S38" s="6"/>
      <c r="T38" s="6"/>
      <c r="U38" s="6"/>
      <c r="V38" s="6"/>
      <c r="W38" s="6"/>
      <c r="X38" s="6"/>
      <c r="Y38" s="6"/>
      <c r="Z38" s="6"/>
    </row>
    <row r="39" spans="1:26" ht="15.75" customHeight="1">
      <c r="A39" s="64"/>
      <c r="B39" s="138"/>
      <c r="C39" s="8"/>
      <c r="D39" s="8"/>
      <c r="E39" s="8"/>
      <c r="F39" s="8"/>
      <c r="G39" s="8"/>
      <c r="H39" s="44"/>
      <c r="I39" s="72"/>
      <c r="J39" s="72"/>
      <c r="K39" s="68"/>
      <c r="L39" s="6"/>
      <c r="M39" s="6"/>
      <c r="N39" s="6"/>
      <c r="O39" s="6"/>
      <c r="P39" s="6"/>
      <c r="Q39" s="6"/>
      <c r="R39" s="6"/>
      <c r="S39" s="6"/>
      <c r="T39" s="6"/>
      <c r="U39" s="6"/>
      <c r="V39" s="6"/>
      <c r="W39" s="6"/>
      <c r="X39" s="6"/>
      <c r="Y39" s="6"/>
      <c r="Z39" s="6"/>
    </row>
    <row r="40" spans="1:26" ht="15.75" customHeight="1">
      <c r="A40" s="64"/>
      <c r="B40" s="138"/>
      <c r="C40" s="8"/>
      <c r="D40" s="8"/>
      <c r="E40" s="8"/>
      <c r="F40" s="8"/>
      <c r="G40" s="8"/>
      <c r="H40" s="44"/>
      <c r="I40" s="72"/>
      <c r="J40" s="72"/>
      <c r="K40" s="68"/>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10" t="s">
        <v>241</v>
      </c>
      <c r="I42" s="516"/>
      <c r="J42" s="594"/>
      <c r="K42" s="139">
        <f>SUM(K12:K40)</f>
        <v>50</v>
      </c>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555" t="s">
        <v>242</v>
      </c>
      <c r="B44" s="516"/>
      <c r="C44" s="516"/>
      <c r="D44" s="516"/>
      <c r="E44" s="516"/>
      <c r="F44" s="516"/>
      <c r="G44" s="517"/>
      <c r="H44" s="6"/>
      <c r="I44" s="6"/>
      <c r="J44" s="6"/>
      <c r="K44" s="6"/>
      <c r="L44" s="6"/>
      <c r="M44" s="6"/>
      <c r="N44" s="6"/>
      <c r="O44" s="6"/>
      <c r="P44" s="6"/>
      <c r="Q44" s="6"/>
      <c r="R44" s="6"/>
      <c r="S44" s="6"/>
      <c r="T44" s="6"/>
      <c r="U44" s="6"/>
      <c r="V44" s="6"/>
      <c r="W44" s="6"/>
      <c r="X44" s="6"/>
      <c r="Y44" s="6"/>
      <c r="Z44" s="6"/>
    </row>
    <row r="45" spans="1:26" ht="4.5" customHeight="1">
      <c r="A45" s="6"/>
      <c r="B45" s="1"/>
      <c r="C45" s="1"/>
      <c r="D45" s="1"/>
      <c r="E45" s="1"/>
      <c r="F45" s="1"/>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I47" s="118" t="s">
        <v>139</v>
      </c>
      <c r="J47" s="119" t="s">
        <v>148</v>
      </c>
      <c r="K47" s="120" t="s">
        <v>197</v>
      </c>
      <c r="L47" s="121" t="s">
        <v>237</v>
      </c>
      <c r="M47" s="6"/>
      <c r="N47" s="6"/>
      <c r="O47" s="6"/>
      <c r="P47" s="6"/>
      <c r="Q47" s="6"/>
      <c r="R47" s="6"/>
      <c r="S47" s="6"/>
      <c r="T47" s="6"/>
      <c r="U47" s="6"/>
      <c r="V47" s="6"/>
      <c r="W47" s="6"/>
      <c r="X47" s="6"/>
      <c r="Y47" s="6"/>
      <c r="Z47" s="6"/>
    </row>
    <row r="48" spans="1:26" ht="15.75" customHeight="1">
      <c r="A48" s="6"/>
      <c r="B48" s="6"/>
      <c r="C48" s="6"/>
      <c r="D48" s="6"/>
      <c r="E48" s="6"/>
      <c r="F48" s="6"/>
      <c r="G48" s="6"/>
      <c r="H48" s="122" t="s">
        <v>178</v>
      </c>
      <c r="I48" s="123">
        <f>SUMIFS(K12:K40,H12:H40, "Voiture essence",B12:B40, "prépa")</f>
        <v>0</v>
      </c>
      <c r="J48" s="124">
        <f>SUMIFS(K12:K40,H12:H40, "Voiture essence",B12:B40, "Tournage")</f>
        <v>0</v>
      </c>
      <c r="K48" s="125">
        <f>SUMIFS(K12:K40,H12:H40, "Voiture essence",B12:B40, "Finitions &amp; Post-prod")</f>
        <v>0</v>
      </c>
      <c r="L48" s="126">
        <f t="shared" ref="L48:L57" si="0">SUM(I48:K48)</f>
        <v>0</v>
      </c>
      <c r="M48" s="6"/>
      <c r="N48" s="6"/>
      <c r="O48" s="6"/>
      <c r="P48" s="6"/>
      <c r="Q48" s="6"/>
      <c r="R48" s="6"/>
      <c r="S48" s="6"/>
      <c r="T48" s="6"/>
      <c r="U48" s="6"/>
      <c r="V48" s="6"/>
      <c r="W48" s="6"/>
      <c r="X48" s="6"/>
      <c r="Y48" s="6"/>
      <c r="Z48" s="6"/>
    </row>
    <row r="49" spans="1:26" ht="15.75" customHeight="1">
      <c r="A49" s="6"/>
      <c r="B49" s="6"/>
      <c r="C49" s="6"/>
      <c r="D49" s="6"/>
      <c r="E49" s="6"/>
      <c r="F49" s="6"/>
      <c r="G49" s="6"/>
      <c r="H49" s="127" t="s">
        <v>177</v>
      </c>
      <c r="I49" s="128">
        <f>SUMIFS(K12:K40,H12:H40, "Voiture diesel",B12:B40, "prépa")</f>
        <v>0</v>
      </c>
      <c r="J49" s="105">
        <f>SUMIFS(K12:K40,H12:H40, "Voiture diesel",B12:B40, "Tournage")</f>
        <v>0</v>
      </c>
      <c r="K49" s="129">
        <f>SUMIFS(K12:K40,H12:H40, "Voiture diesel",B12:B40, "Finitions &amp; Post-prod")</f>
        <v>0</v>
      </c>
      <c r="L49" s="130">
        <f t="shared" si="0"/>
        <v>0</v>
      </c>
      <c r="M49" s="6"/>
      <c r="N49" s="6"/>
      <c r="O49" s="6"/>
      <c r="P49" s="6"/>
      <c r="Q49" s="6"/>
      <c r="R49" s="6"/>
      <c r="S49" s="6"/>
      <c r="T49" s="6"/>
      <c r="U49" s="6"/>
      <c r="V49" s="6"/>
      <c r="W49" s="6"/>
      <c r="X49" s="6"/>
      <c r="Y49" s="6"/>
      <c r="Z49" s="6"/>
    </row>
    <row r="50" spans="1:26" ht="15.75" customHeight="1">
      <c r="A50" s="6"/>
      <c r="B50" s="6"/>
      <c r="C50" s="6"/>
      <c r="D50" s="6"/>
      <c r="E50" s="6"/>
      <c r="F50" s="6"/>
      <c r="G50" s="6"/>
      <c r="H50" s="127" t="s">
        <v>180</v>
      </c>
      <c r="I50" s="128">
        <f>SUMIFS(K12:K40,H12:H40, "Voiture hybride",B12:B40, "prépa")</f>
        <v>0</v>
      </c>
      <c r="J50" s="105">
        <f>SUMIFS(K12:K40,H12:H40, "Voiture hybride",B12:B40, "Tournage")</f>
        <v>0</v>
      </c>
      <c r="K50" s="129">
        <f>SUMIFS(K12:K40,H12:H40, "Voiture hybride",B12:B40, "Finitions &amp; Post-prod")</f>
        <v>0</v>
      </c>
      <c r="L50" s="130">
        <f t="shared" si="0"/>
        <v>0</v>
      </c>
      <c r="M50" s="6"/>
      <c r="N50" s="6"/>
      <c r="O50" s="6"/>
      <c r="P50" s="6"/>
      <c r="Q50" s="6"/>
      <c r="R50" s="6"/>
      <c r="S50" s="6"/>
      <c r="T50" s="6"/>
      <c r="U50" s="6"/>
      <c r="V50" s="6"/>
      <c r="W50" s="6"/>
      <c r="X50" s="6"/>
      <c r="Y50" s="6"/>
      <c r="Z50" s="6"/>
    </row>
    <row r="51" spans="1:26" ht="15.75" customHeight="1">
      <c r="A51" s="6"/>
      <c r="B51" s="6"/>
      <c r="C51" s="6"/>
      <c r="D51" s="6"/>
      <c r="E51" s="6"/>
      <c r="F51" s="6"/>
      <c r="G51" s="6"/>
      <c r="H51" s="127" t="s">
        <v>193</v>
      </c>
      <c r="I51" s="128">
        <f>SUMIFS(K12:K40,H12:H40, "Voiture électrique",B12:B40, "prépa")</f>
        <v>0</v>
      </c>
      <c r="J51" s="105">
        <f>SUMIFS(K12:K40,H12:H40, "Voiture électrique",B12:B40, "Tournage")</f>
        <v>0</v>
      </c>
      <c r="K51" s="129">
        <f>SUMIFS(K12:K40,H12:H40, "Voiture électrique",B12:B40, "Finitions &amp; Post-prod")</f>
        <v>0</v>
      </c>
      <c r="L51" s="130">
        <f t="shared" si="0"/>
        <v>0</v>
      </c>
      <c r="M51" s="6"/>
      <c r="N51" s="6"/>
      <c r="O51" s="6"/>
      <c r="P51" s="6"/>
      <c r="Q51" s="6"/>
      <c r="R51" s="6"/>
      <c r="S51" s="6"/>
      <c r="T51" s="6"/>
      <c r="U51" s="6"/>
      <c r="V51" s="6"/>
      <c r="W51" s="6"/>
      <c r="X51" s="6"/>
      <c r="Y51" s="6"/>
      <c r="Z51" s="6"/>
    </row>
    <row r="52" spans="1:26" ht="15.75" customHeight="1">
      <c r="A52" s="6"/>
      <c r="B52" s="6"/>
      <c r="C52" s="6"/>
      <c r="D52" s="6"/>
      <c r="E52" s="6"/>
      <c r="F52" s="6"/>
      <c r="G52" s="6"/>
      <c r="H52" s="127" t="s">
        <v>181</v>
      </c>
      <c r="I52" s="128">
        <f>SUMIFS(K12:K40,H12:H40, "Minibus / Van",B12:B40, "prépa")</f>
        <v>0</v>
      </c>
      <c r="J52" s="105">
        <f>SUMIFS(K12:K40,H12:H40, "Minibus / Van",B12:B40, "Tournage")</f>
        <v>0</v>
      </c>
      <c r="K52" s="129">
        <f>SUMIFS(K12:K40,H12:H40, "Minibus / Van",B12:B40, "Finitions &amp; Post-prod")</f>
        <v>0</v>
      </c>
      <c r="L52" s="130">
        <f t="shared" si="0"/>
        <v>0</v>
      </c>
      <c r="M52" s="6"/>
      <c r="N52" s="6"/>
      <c r="O52" s="6"/>
      <c r="P52" s="6"/>
      <c r="Q52" s="6"/>
      <c r="R52" s="6"/>
      <c r="S52" s="6"/>
      <c r="T52" s="6"/>
      <c r="U52" s="6"/>
      <c r="V52" s="6"/>
      <c r="W52" s="6"/>
      <c r="X52" s="6"/>
      <c r="Y52" s="6"/>
      <c r="Z52" s="6"/>
    </row>
    <row r="53" spans="1:26" ht="15.75" customHeight="1">
      <c r="A53" s="6"/>
      <c r="B53" s="6"/>
      <c r="C53" s="6"/>
      <c r="D53" s="6"/>
      <c r="E53" s="6"/>
      <c r="F53" s="6"/>
      <c r="G53" s="6"/>
      <c r="H53" s="127" t="s">
        <v>194</v>
      </c>
      <c r="I53" s="128">
        <f>SUMIFS(K12:K40,H12:H40, "Moto &gt;250cc",B12:B40, "prépa")</f>
        <v>0</v>
      </c>
      <c r="J53" s="105">
        <f>SUMIFS(K12:K40,H12:H40, "Moto &gt;250cc",B12:B40, "Tournage")</f>
        <v>0</v>
      </c>
      <c r="K53" s="129">
        <f>SUMIFS(K12:K40,H12:H40, "Moto &gt;250cc",B12:B40, "Finitions &amp; Post-prod")</f>
        <v>0</v>
      </c>
      <c r="L53" s="130">
        <f t="shared" si="0"/>
        <v>0</v>
      </c>
      <c r="M53" s="6"/>
      <c r="N53" s="6"/>
      <c r="O53" s="6"/>
      <c r="P53" s="6"/>
      <c r="Q53" s="6"/>
      <c r="R53" s="6"/>
      <c r="S53" s="6"/>
      <c r="T53" s="6"/>
      <c r="U53" s="6"/>
      <c r="V53" s="6"/>
      <c r="W53" s="6"/>
      <c r="X53" s="6"/>
      <c r="Y53" s="6"/>
      <c r="Z53" s="6"/>
    </row>
    <row r="54" spans="1:26" ht="15.75" customHeight="1">
      <c r="A54" s="6"/>
      <c r="B54" s="6"/>
      <c r="C54" s="6"/>
      <c r="D54" s="6"/>
      <c r="E54" s="6"/>
      <c r="F54" s="6"/>
      <c r="G54" s="6"/>
      <c r="H54" s="127" t="s">
        <v>184</v>
      </c>
      <c r="I54" s="128">
        <f>SUMIFS(K12:K40,H12:H40, "Scooter essence",B12:B40, "prépa")</f>
        <v>0</v>
      </c>
      <c r="J54" s="105">
        <f>SUMIFS(K12:K40,H12:H40, "Scooter essence",B12:B40, "Tournage")</f>
        <v>0</v>
      </c>
      <c r="K54" s="129">
        <f>SUMIFS(K12:K40,H12:H40, "Scooter essence",B12:B40, "Finitions &amp; Post-prod")</f>
        <v>0</v>
      </c>
      <c r="L54" s="130">
        <f t="shared" si="0"/>
        <v>0</v>
      </c>
      <c r="M54" s="6"/>
      <c r="N54" s="6"/>
      <c r="O54" s="6"/>
      <c r="P54" s="6"/>
      <c r="Q54" s="6"/>
      <c r="R54" s="6"/>
      <c r="S54" s="6"/>
      <c r="T54" s="6"/>
      <c r="U54" s="6"/>
      <c r="V54" s="6"/>
      <c r="W54" s="6"/>
      <c r="X54" s="6"/>
      <c r="Y54" s="6"/>
      <c r="Z54" s="6"/>
    </row>
    <row r="55" spans="1:26" ht="15.75" customHeight="1">
      <c r="A55" s="6"/>
      <c r="B55" s="6"/>
      <c r="C55" s="6"/>
      <c r="D55" s="6"/>
      <c r="E55" s="6"/>
      <c r="F55" s="6"/>
      <c r="G55" s="6"/>
      <c r="H55" s="127" t="s">
        <v>179</v>
      </c>
      <c r="I55" s="128">
        <f>SUMIFS(K12:K40,H12:H40, "Scooter électrique",B12:B40, "prépa")</f>
        <v>0</v>
      </c>
      <c r="J55" s="105">
        <f>SUMIFS(K12:K40,H12:H40, "Scooter électrique",B12:B40, "Tournage")</f>
        <v>0</v>
      </c>
      <c r="K55" s="129">
        <f>SUMIFS(K12:K40,H12:H40, "Scooter électrique",B12:B40, "Finitions &amp; Post-prod")</f>
        <v>0</v>
      </c>
      <c r="L55" s="130">
        <f t="shared" si="0"/>
        <v>0</v>
      </c>
      <c r="M55" s="6"/>
      <c r="N55" s="6"/>
      <c r="O55" s="6"/>
      <c r="P55" s="6"/>
      <c r="Q55" s="6"/>
      <c r="R55" s="6"/>
      <c r="S55" s="6"/>
      <c r="T55" s="6"/>
      <c r="U55" s="6"/>
      <c r="V55" s="6"/>
      <c r="W55" s="6"/>
      <c r="X55" s="6"/>
      <c r="Y55" s="6"/>
      <c r="Z55" s="6"/>
    </row>
    <row r="56" spans="1:26" ht="15.75" customHeight="1">
      <c r="A56" s="6"/>
      <c r="B56" s="6"/>
      <c r="C56" s="6"/>
      <c r="D56" s="6"/>
      <c r="E56" s="6"/>
      <c r="F56" s="6"/>
      <c r="G56" s="6"/>
      <c r="H56" s="140" t="s">
        <v>187</v>
      </c>
      <c r="I56" s="141">
        <f>SUMIFS(K12:K40,H12:H40, "Bus",B12:B40, "prépa")</f>
        <v>0</v>
      </c>
      <c r="J56" s="142">
        <f>SUMIFS(K12:K40,H12:H40, "Bus",B12:B40, "Tournage")</f>
        <v>0</v>
      </c>
      <c r="K56" s="116">
        <f>SUMIFS(K12:K40,H12:H40, "Bus",B12:B40, "Finitions &amp; Post-prod")</f>
        <v>0</v>
      </c>
      <c r="L56" s="130">
        <f t="shared" si="0"/>
        <v>0</v>
      </c>
      <c r="M56" s="6"/>
      <c r="N56" s="6"/>
      <c r="O56" s="6"/>
      <c r="P56" s="6"/>
      <c r="Q56" s="6"/>
      <c r="R56" s="6"/>
      <c r="S56" s="6"/>
      <c r="T56" s="6"/>
      <c r="U56" s="6"/>
      <c r="V56" s="6"/>
      <c r="W56" s="6"/>
      <c r="X56" s="6"/>
      <c r="Y56" s="6"/>
      <c r="Z56" s="6"/>
    </row>
    <row r="57" spans="1:26" ht="15.75" customHeight="1">
      <c r="A57" s="6"/>
      <c r="B57" s="6"/>
      <c r="C57" s="6"/>
      <c r="D57" s="6"/>
      <c r="E57" s="6"/>
      <c r="F57" s="6"/>
      <c r="G57" s="6"/>
      <c r="H57" s="131" t="s">
        <v>186</v>
      </c>
      <c r="I57" s="132">
        <f>SUMIFS(K12:K40,H12:H40, "Taxi",B12:B40, "prépa")</f>
        <v>0</v>
      </c>
      <c r="J57" s="133">
        <f>SUMIFS(K12:K40,H12:H40, "Taxi",B12:B40, "Tournage")</f>
        <v>50</v>
      </c>
      <c r="K57" s="134">
        <f>SUMIFS(K12:K40,H12:H40, "Taxi",B12:B40, "Finitions &amp; Post-prod")</f>
        <v>0</v>
      </c>
      <c r="L57" s="135">
        <f t="shared" si="0"/>
        <v>50</v>
      </c>
      <c r="M57" s="6"/>
      <c r="N57" s="6"/>
      <c r="O57" s="6"/>
      <c r="P57" s="6"/>
      <c r="Q57" s="6"/>
      <c r="R57" s="6"/>
      <c r="S57" s="6"/>
      <c r="T57" s="6"/>
      <c r="U57" s="6"/>
      <c r="V57" s="6"/>
      <c r="W57" s="6"/>
      <c r="X57" s="6"/>
      <c r="Y57" s="6"/>
      <c r="Z57" s="6"/>
    </row>
    <row r="58" spans="1:26" ht="15.75" customHeight="1">
      <c r="A58" s="6"/>
      <c r="B58" s="6"/>
      <c r="C58" s="6"/>
      <c r="D58" s="6"/>
      <c r="E58" s="6"/>
      <c r="F58" s="6"/>
      <c r="G58" s="6"/>
      <c r="H58" s="136" t="s">
        <v>188</v>
      </c>
      <c r="I58" s="137">
        <f t="shared" ref="I58:K58" si="1">SUM(I48:I57)</f>
        <v>0</v>
      </c>
      <c r="J58" s="137">
        <f t="shared" si="1"/>
        <v>50</v>
      </c>
      <c r="K58" s="137">
        <f t="shared" si="1"/>
        <v>0</v>
      </c>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5">
    <mergeCell ref="A2:G2"/>
    <mergeCell ref="C4:E4"/>
    <mergeCell ref="C5:E5"/>
    <mergeCell ref="H42:J42"/>
    <mergeCell ref="A44:G44"/>
  </mergeCells>
  <pageMargins left="0.75" right="0.75" top="1" bottom="1" header="0" footer="0"/>
  <pageSetup paperSize="9" orientation="portrait"/>
  <drawing r:id="rId1"/>
  <extLst>
    <ext xmlns:x14="http://schemas.microsoft.com/office/spreadsheetml/2009/9/main" uri="{CCE6A557-97BC-4b89-ADB6-D9C93CAAB3DF}">
      <x14:dataValidations xmlns:xm="http://schemas.microsoft.com/office/excel/2006/main" count="3">
        <x14:dataValidation type="list" allowBlank="1" showErrorMessage="1" xr:uid="{00000000-0002-0000-0600-000000000000}">
          <x14:formula1>
            <xm:f>Données!$H$5:$H$14</xm:f>
          </x14:formula1>
          <xm:sqref>H12:H40</xm:sqref>
        </x14:dataValidation>
        <x14:dataValidation type="list" allowBlank="1" showErrorMessage="1" xr:uid="{00000000-0002-0000-0600-000001000000}">
          <x14:formula1>
            <xm:f>Données!$D$37:$D$39</xm:f>
          </x14:formula1>
          <xm:sqref>A12:A40</xm:sqref>
        </x14:dataValidation>
        <x14:dataValidation type="list" allowBlank="1" showErrorMessage="1" xr:uid="{00000000-0002-0000-0600-000002000000}">
          <x14:formula1>
            <xm:f>Données!$D$49:$D$51</xm:f>
          </x14:formula1>
          <xm:sqref>B12:B40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5E0B3"/>
  </sheetPr>
  <dimension ref="A1:Z1003"/>
  <sheetViews>
    <sheetView topLeftCell="A64" workbookViewId="0">
      <selection activeCell="I11" sqref="I11"/>
    </sheetView>
  </sheetViews>
  <sheetFormatPr baseColWidth="10" defaultColWidth="11.125" defaultRowHeight="15" customHeight="1"/>
  <cols>
    <col min="1" max="1" width="8.5" customWidth="1"/>
    <col min="2" max="2" width="20.5" customWidth="1"/>
    <col min="3" max="3" width="16.5" customWidth="1"/>
    <col min="4" max="4" width="25.5" customWidth="1"/>
    <col min="5" max="5" width="53.375" customWidth="1"/>
    <col min="6" max="9" width="16.5" customWidth="1"/>
    <col min="10" max="10" width="3.875" customWidth="1"/>
    <col min="11" max="26" width="11" customWidth="1"/>
  </cols>
  <sheetData>
    <row r="1" spans="1:26" ht="15.75" customHeight="1"/>
    <row r="2" spans="1:26" ht="15.75" customHeight="1">
      <c r="A2" s="558" t="s">
        <v>243</v>
      </c>
      <c r="B2" s="516"/>
      <c r="C2" s="516"/>
      <c r="D2" s="516"/>
      <c r="E2" s="516"/>
      <c r="F2" s="516"/>
      <c r="G2" s="516"/>
      <c r="H2" s="516"/>
      <c r="I2" s="517"/>
    </row>
    <row r="3" spans="1:26" ht="15.75" customHeight="1">
      <c r="A3" s="6"/>
      <c r="B3" s="6"/>
      <c r="C3" s="6"/>
      <c r="D3" s="6"/>
      <c r="E3" s="6"/>
      <c r="F3" s="6"/>
      <c r="G3" s="6"/>
      <c r="H3" s="6"/>
      <c r="I3" s="6"/>
      <c r="J3" s="6"/>
      <c r="K3" s="6"/>
      <c r="L3" s="6"/>
      <c r="M3" s="6"/>
      <c r="N3" s="6"/>
      <c r="O3" s="6"/>
      <c r="P3" s="6"/>
      <c r="Q3" s="6"/>
      <c r="R3" s="6"/>
      <c r="S3" s="6"/>
      <c r="T3" s="6"/>
      <c r="U3" s="6"/>
      <c r="V3" s="6"/>
      <c r="W3" s="6"/>
      <c r="X3" s="6"/>
      <c r="Y3" s="6"/>
      <c r="Z3" s="6"/>
    </row>
    <row r="4" spans="1:26" ht="15.75" customHeight="1">
      <c r="A4" s="6"/>
      <c r="B4" s="3" t="s">
        <v>785</v>
      </c>
      <c r="C4" s="6"/>
      <c r="D4" s="6"/>
      <c r="E4" s="6"/>
      <c r="F4" s="6"/>
      <c r="G4" s="6"/>
      <c r="H4" s="6"/>
      <c r="I4" s="6"/>
      <c r="J4" s="6"/>
      <c r="K4" s="6"/>
      <c r="L4" s="6"/>
      <c r="M4" s="6"/>
      <c r="N4" s="6"/>
      <c r="O4" s="6"/>
      <c r="P4" s="6"/>
      <c r="Q4" s="6"/>
      <c r="R4" s="6"/>
      <c r="S4" s="6"/>
      <c r="T4" s="6"/>
      <c r="U4" s="6"/>
      <c r="V4" s="6"/>
      <c r="W4" s="6"/>
      <c r="X4" s="6"/>
      <c r="Y4" s="6"/>
      <c r="Z4" s="6"/>
    </row>
    <row r="5" spans="1:26" ht="15.75" customHeight="1">
      <c r="A5" s="12"/>
      <c r="B5" s="33" t="s">
        <v>111</v>
      </c>
      <c r="C5" s="12"/>
      <c r="D5" s="12"/>
      <c r="E5" s="12"/>
      <c r="F5" s="12"/>
      <c r="G5" s="12"/>
      <c r="H5" s="12"/>
      <c r="I5" s="12"/>
      <c r="J5" s="12"/>
      <c r="K5" s="12"/>
      <c r="L5" s="12"/>
      <c r="M5" s="12"/>
      <c r="N5" s="12"/>
      <c r="O5" s="12"/>
      <c r="P5" s="12"/>
      <c r="Q5" s="12"/>
      <c r="R5" s="12"/>
      <c r="S5" s="12"/>
      <c r="T5" s="12"/>
      <c r="U5" s="12"/>
      <c r="V5" s="12"/>
      <c r="W5" s="12"/>
      <c r="X5" s="12"/>
      <c r="Y5" s="12"/>
      <c r="Z5" s="12"/>
    </row>
    <row r="6" spans="1:26" ht="15.75" customHeight="1">
      <c r="A6" s="12"/>
      <c r="B6" s="34" t="s">
        <v>112</v>
      </c>
      <c r="C6" s="12"/>
      <c r="D6" s="12"/>
      <c r="E6" s="12"/>
      <c r="F6" s="12"/>
      <c r="G6" s="12"/>
      <c r="H6" s="12"/>
      <c r="I6" s="12"/>
      <c r="J6" s="12"/>
      <c r="K6" s="12"/>
      <c r="L6" s="12"/>
      <c r="M6" s="12"/>
      <c r="N6" s="12"/>
      <c r="O6" s="12"/>
      <c r="P6" s="12"/>
      <c r="Q6" s="12"/>
      <c r="R6" s="12"/>
      <c r="S6" s="12"/>
      <c r="T6" s="12"/>
      <c r="U6" s="12"/>
      <c r="V6" s="12"/>
      <c r="W6" s="12"/>
      <c r="X6" s="12"/>
      <c r="Y6" s="12"/>
      <c r="Z6" s="12"/>
    </row>
    <row r="7" spans="1:26" ht="15.75" customHeight="1">
      <c r="A7" s="12"/>
      <c r="B7" s="143" t="s">
        <v>244</v>
      </c>
      <c r="C7" s="12"/>
      <c r="D7" s="12"/>
      <c r="E7" s="12"/>
      <c r="F7" s="12"/>
      <c r="G7" s="12"/>
      <c r="H7" s="12"/>
      <c r="I7" s="12"/>
      <c r="J7" s="12"/>
      <c r="K7" s="12"/>
      <c r="L7" s="12"/>
      <c r="M7" s="12"/>
      <c r="N7" s="12"/>
      <c r="O7" s="12"/>
      <c r="P7" s="12"/>
      <c r="Q7" s="12"/>
      <c r="R7" s="12"/>
      <c r="S7" s="12"/>
      <c r="T7" s="12"/>
      <c r="U7" s="12"/>
      <c r="V7" s="12"/>
      <c r="W7" s="12"/>
      <c r="X7" s="12"/>
      <c r="Y7" s="12"/>
      <c r="Z7" s="12"/>
    </row>
    <row r="8" spans="1:26" ht="15.75" customHeight="1">
      <c r="A8" s="12"/>
      <c r="B8" s="3" t="s">
        <v>166</v>
      </c>
      <c r="C8" s="12"/>
      <c r="D8" s="12"/>
      <c r="E8" s="12"/>
      <c r="F8" s="12"/>
      <c r="G8" s="12"/>
      <c r="H8" s="12"/>
      <c r="I8" s="12"/>
      <c r="J8" s="12"/>
      <c r="K8" s="12"/>
      <c r="L8" s="12"/>
      <c r="M8" s="12"/>
      <c r="N8" s="12"/>
      <c r="O8" s="12"/>
      <c r="P8" s="12"/>
      <c r="Q8" s="12"/>
      <c r="R8" s="12"/>
      <c r="S8" s="12"/>
      <c r="T8" s="12"/>
      <c r="U8" s="12"/>
      <c r="V8" s="12"/>
      <c r="W8" s="12"/>
      <c r="X8" s="12"/>
      <c r="Y8" s="12"/>
      <c r="Z8" s="12"/>
    </row>
    <row r="9" spans="1:26" ht="15.75" customHeight="1">
      <c r="A9" s="6"/>
      <c r="B9" s="6"/>
      <c r="C9" s="6"/>
      <c r="D9" s="6"/>
      <c r="E9" s="6"/>
      <c r="F9" s="6"/>
      <c r="G9" s="6"/>
      <c r="H9" s="6"/>
      <c r="I9" s="6"/>
      <c r="J9" s="6"/>
      <c r="K9" s="6"/>
      <c r="L9" s="6"/>
      <c r="M9" s="6"/>
      <c r="N9" s="6"/>
      <c r="O9" s="6"/>
      <c r="P9" s="6"/>
      <c r="Q9" s="6"/>
      <c r="R9" s="6"/>
      <c r="S9" s="6"/>
      <c r="T9" s="6"/>
      <c r="U9" s="6"/>
      <c r="V9" s="6"/>
      <c r="W9" s="6"/>
      <c r="X9" s="6"/>
      <c r="Y9" s="6"/>
      <c r="Z9" s="6"/>
    </row>
    <row r="10" spans="1:26" ht="60" customHeight="1">
      <c r="A10" s="144" t="s">
        <v>114</v>
      </c>
      <c r="B10" s="145" t="s">
        <v>245</v>
      </c>
      <c r="C10" s="145" t="s">
        <v>246</v>
      </c>
      <c r="D10" s="145" t="s">
        <v>167</v>
      </c>
      <c r="E10" s="145" t="s">
        <v>247</v>
      </c>
      <c r="F10" s="145" t="s">
        <v>248</v>
      </c>
      <c r="G10" s="145" t="s">
        <v>791</v>
      </c>
      <c r="H10" s="145" t="s">
        <v>249</v>
      </c>
      <c r="I10" s="146" t="s">
        <v>790</v>
      </c>
      <c r="J10" s="147"/>
      <c r="K10" s="707" t="s">
        <v>793</v>
      </c>
      <c r="L10" s="148" t="s">
        <v>792</v>
      </c>
      <c r="M10" s="147"/>
      <c r="N10" s="149"/>
      <c r="O10" s="147"/>
      <c r="P10" s="147"/>
      <c r="Q10" s="147"/>
      <c r="R10" s="147"/>
      <c r="S10" s="147"/>
      <c r="T10" s="147"/>
      <c r="U10" s="147"/>
      <c r="V10" s="147"/>
      <c r="W10" s="147"/>
      <c r="X10" s="147"/>
      <c r="Y10" s="147"/>
      <c r="Z10" s="147"/>
    </row>
    <row r="11" spans="1:26" ht="15.75" customHeight="1">
      <c r="A11" s="150" t="s">
        <v>136</v>
      </c>
      <c r="B11" s="151" t="s">
        <v>139</v>
      </c>
      <c r="C11" s="152"/>
      <c r="D11" s="152"/>
      <c r="E11" s="511"/>
      <c r="F11" s="153" t="s">
        <v>251</v>
      </c>
      <c r="G11" s="154">
        <v>10</v>
      </c>
      <c r="H11" s="155">
        <v>2</v>
      </c>
      <c r="I11" s="156">
        <f>G11*H11</f>
        <v>20</v>
      </c>
      <c r="K11" s="53"/>
      <c r="L11" s="69"/>
      <c r="N11" s="157"/>
      <c r="O11" s="158"/>
    </row>
    <row r="12" spans="1:26" ht="15.75" customHeight="1">
      <c r="A12" s="150"/>
      <c r="B12" s="151"/>
      <c r="C12" s="152"/>
      <c r="D12" s="152"/>
      <c r="E12" s="512"/>
      <c r="F12" s="153"/>
      <c r="G12" s="159"/>
      <c r="H12" s="155"/>
      <c r="I12" s="156">
        <f>G12*H12</f>
        <v>0</v>
      </c>
      <c r="K12" s="53"/>
      <c r="L12" s="69"/>
      <c r="N12" s="157"/>
      <c r="O12" s="158"/>
    </row>
    <row r="13" spans="1:26" ht="15.75" customHeight="1">
      <c r="A13" s="150"/>
      <c r="B13" s="151"/>
      <c r="C13" s="152"/>
      <c r="D13" s="152"/>
      <c r="E13" s="512"/>
      <c r="F13" s="153"/>
      <c r="G13" s="159"/>
      <c r="H13" s="155"/>
      <c r="I13" s="156">
        <f t="shared" ref="I13:I46" si="0">G13*H13</f>
        <v>0</v>
      </c>
      <c r="K13" s="53"/>
      <c r="L13" s="69"/>
      <c r="N13" s="157"/>
      <c r="O13" s="158"/>
    </row>
    <row r="14" spans="1:26" ht="15.75" customHeight="1">
      <c r="A14" s="150"/>
      <c r="B14" s="151"/>
      <c r="C14" s="160"/>
      <c r="D14" s="152"/>
      <c r="E14" s="512"/>
      <c r="F14" s="153"/>
      <c r="G14" s="159"/>
      <c r="H14" s="155"/>
      <c r="I14" s="156">
        <f t="shared" si="0"/>
        <v>0</v>
      </c>
      <c r="K14" s="53"/>
      <c r="L14" s="69"/>
      <c r="M14" s="161"/>
      <c r="N14" s="157"/>
      <c r="O14" s="158"/>
    </row>
    <row r="15" spans="1:26" ht="15.75" customHeight="1">
      <c r="A15" s="150"/>
      <c r="B15" s="151"/>
      <c r="C15" s="152"/>
      <c r="D15" s="152"/>
      <c r="E15" s="512"/>
      <c r="F15" s="153"/>
      <c r="G15" s="159"/>
      <c r="H15" s="155"/>
      <c r="I15" s="156">
        <f t="shared" si="0"/>
        <v>0</v>
      </c>
      <c r="K15" s="53"/>
      <c r="L15" s="69"/>
      <c r="N15" s="157"/>
      <c r="O15" s="158"/>
    </row>
    <row r="16" spans="1:26" ht="15.75" customHeight="1">
      <c r="A16" s="150"/>
      <c r="B16" s="151"/>
      <c r="C16" s="162"/>
      <c r="D16" s="152"/>
      <c r="E16" s="512"/>
      <c r="F16" s="153"/>
      <c r="G16" s="163"/>
      <c r="H16" s="69"/>
      <c r="I16" s="156">
        <f t="shared" si="0"/>
        <v>0</v>
      </c>
      <c r="K16" s="53"/>
      <c r="L16" s="69"/>
      <c r="N16" s="157"/>
      <c r="O16" s="158"/>
    </row>
    <row r="17" spans="1:15" ht="15.75" customHeight="1">
      <c r="A17" s="150"/>
      <c r="B17" s="151"/>
      <c r="C17" s="162"/>
      <c r="D17" s="152"/>
      <c r="E17" s="512"/>
      <c r="F17" s="153"/>
      <c r="G17" s="164"/>
      <c r="H17" s="69"/>
      <c r="I17" s="156">
        <f t="shared" si="0"/>
        <v>0</v>
      </c>
      <c r="K17" s="165"/>
      <c r="L17" s="69"/>
      <c r="N17" s="157"/>
      <c r="O17" s="158"/>
    </row>
    <row r="18" spans="1:15" ht="15.75" customHeight="1">
      <c r="A18" s="150"/>
      <c r="B18" s="151"/>
      <c r="C18" s="162"/>
      <c r="D18" s="152"/>
      <c r="E18" s="512"/>
      <c r="F18" s="153"/>
      <c r="G18" s="164"/>
      <c r="H18" s="69"/>
      <c r="I18" s="156">
        <f t="shared" si="0"/>
        <v>0</v>
      </c>
      <c r="K18" s="165"/>
      <c r="L18" s="69"/>
      <c r="N18" s="157"/>
      <c r="O18" s="158"/>
    </row>
    <row r="19" spans="1:15" ht="15.75" customHeight="1">
      <c r="A19" s="150"/>
      <c r="B19" s="151"/>
      <c r="C19" s="162"/>
      <c r="D19" s="152"/>
      <c r="E19" s="512"/>
      <c r="F19" s="153"/>
      <c r="G19" s="164"/>
      <c r="H19" s="69"/>
      <c r="I19" s="156">
        <f t="shared" si="0"/>
        <v>0</v>
      </c>
      <c r="K19" s="165"/>
      <c r="L19" s="69"/>
      <c r="M19" s="161"/>
      <c r="N19" s="157"/>
      <c r="O19" s="158"/>
    </row>
    <row r="20" spans="1:15" ht="15.75" customHeight="1">
      <c r="A20" s="150"/>
      <c r="B20" s="151"/>
      <c r="C20" s="162"/>
      <c r="D20" s="152"/>
      <c r="E20" s="512"/>
      <c r="F20" s="153"/>
      <c r="G20" s="164"/>
      <c r="H20" s="69"/>
      <c r="I20" s="156">
        <f t="shared" si="0"/>
        <v>0</v>
      </c>
      <c r="K20" s="53"/>
      <c r="L20" s="69"/>
      <c r="N20" s="157"/>
      <c r="O20" s="158"/>
    </row>
    <row r="21" spans="1:15" ht="15.75" customHeight="1">
      <c r="A21" s="150"/>
      <c r="B21" s="151"/>
      <c r="C21" s="162"/>
      <c r="D21" s="152"/>
      <c r="E21" s="512"/>
      <c r="F21" s="153"/>
      <c r="G21" s="164"/>
      <c r="H21" s="69"/>
      <c r="I21" s="156">
        <f t="shared" si="0"/>
        <v>0</v>
      </c>
      <c r="K21" s="53"/>
      <c r="L21" s="69"/>
      <c r="N21" s="157"/>
      <c r="O21" s="158"/>
    </row>
    <row r="22" spans="1:15" ht="15.75" customHeight="1">
      <c r="A22" s="150"/>
      <c r="B22" s="151"/>
      <c r="C22" s="162"/>
      <c r="D22" s="152"/>
      <c r="E22" s="512"/>
      <c r="F22" s="153"/>
      <c r="G22" s="164"/>
      <c r="H22" s="69"/>
      <c r="I22" s="156">
        <f t="shared" si="0"/>
        <v>0</v>
      </c>
      <c r="K22" s="53"/>
      <c r="L22" s="69"/>
      <c r="N22" s="157"/>
      <c r="O22" s="158"/>
    </row>
    <row r="23" spans="1:15" ht="15.75" customHeight="1">
      <c r="A23" s="150"/>
      <c r="B23" s="151"/>
      <c r="C23" s="162"/>
      <c r="D23" s="152"/>
      <c r="E23" s="512"/>
      <c r="F23" s="153"/>
      <c r="G23" s="164"/>
      <c r="H23" s="69"/>
      <c r="I23" s="156">
        <f t="shared" si="0"/>
        <v>0</v>
      </c>
      <c r="K23" s="53"/>
      <c r="L23" s="69"/>
      <c r="N23" s="157"/>
      <c r="O23" s="158"/>
    </row>
    <row r="24" spans="1:15" ht="15.75" customHeight="1">
      <c r="A24" s="150"/>
      <c r="B24" s="151"/>
      <c r="C24" s="162"/>
      <c r="D24" s="152"/>
      <c r="E24" s="512"/>
      <c r="F24" s="153"/>
      <c r="G24" s="164"/>
      <c r="H24" s="69"/>
      <c r="I24" s="156">
        <f t="shared" si="0"/>
        <v>0</v>
      </c>
      <c r="K24" s="53"/>
      <c r="L24" s="69"/>
      <c r="N24" s="157"/>
      <c r="O24" s="158"/>
    </row>
    <row r="25" spans="1:15" ht="15.75" customHeight="1">
      <c r="A25" s="150"/>
      <c r="B25" s="151"/>
      <c r="C25" s="162"/>
      <c r="D25" s="152"/>
      <c r="E25" s="512"/>
      <c r="F25" s="153"/>
      <c r="G25" s="164"/>
      <c r="H25" s="69"/>
      <c r="I25" s="156">
        <f t="shared" si="0"/>
        <v>0</v>
      </c>
      <c r="K25" s="53"/>
      <c r="L25" s="69"/>
      <c r="N25" s="157"/>
      <c r="O25" s="158"/>
    </row>
    <row r="26" spans="1:15" ht="15.75" customHeight="1">
      <c r="A26" s="150"/>
      <c r="B26" s="151"/>
      <c r="C26" s="162"/>
      <c r="D26" s="152"/>
      <c r="E26" s="512"/>
      <c r="F26" s="153"/>
      <c r="G26" s="164"/>
      <c r="H26" s="69"/>
      <c r="I26" s="156">
        <f t="shared" si="0"/>
        <v>0</v>
      </c>
      <c r="K26" s="53"/>
      <c r="L26" s="69"/>
      <c r="N26" s="157"/>
      <c r="O26" s="158"/>
    </row>
    <row r="27" spans="1:15" ht="15.75" customHeight="1">
      <c r="A27" s="150"/>
      <c r="B27" s="151"/>
      <c r="C27" s="162"/>
      <c r="D27" s="152"/>
      <c r="E27" s="512"/>
      <c r="F27" s="153"/>
      <c r="G27" s="164"/>
      <c r="H27" s="69"/>
      <c r="I27" s="156">
        <f t="shared" si="0"/>
        <v>0</v>
      </c>
      <c r="K27" s="53"/>
      <c r="L27" s="69"/>
      <c r="N27" s="157"/>
      <c r="O27" s="158"/>
    </row>
    <row r="28" spans="1:15" ht="15.75" customHeight="1">
      <c r="A28" s="150"/>
      <c r="B28" s="151"/>
      <c r="C28" s="162"/>
      <c r="D28" s="166"/>
      <c r="E28" s="167"/>
      <c r="F28" s="153"/>
      <c r="G28" s="159"/>
      <c r="H28" s="155"/>
      <c r="I28" s="156">
        <f t="shared" si="0"/>
        <v>0</v>
      </c>
      <c r="K28" s="53"/>
      <c r="L28" s="69"/>
      <c r="N28" s="157"/>
      <c r="O28" s="158"/>
    </row>
    <row r="29" spans="1:15" ht="15.75" customHeight="1">
      <c r="A29" s="150"/>
      <c r="B29" s="151"/>
      <c r="C29" s="162"/>
      <c r="D29" s="166"/>
      <c r="E29" s="167"/>
      <c r="F29" s="153"/>
      <c r="G29" s="159"/>
      <c r="H29" s="155"/>
      <c r="I29" s="156">
        <f t="shared" si="0"/>
        <v>0</v>
      </c>
      <c r="K29" s="53"/>
      <c r="L29" s="69"/>
      <c r="N29" s="157"/>
      <c r="O29" s="158"/>
    </row>
    <row r="30" spans="1:15" ht="15.75" customHeight="1">
      <c r="A30" s="150"/>
      <c r="B30" s="151"/>
      <c r="C30" s="162"/>
      <c r="D30" s="166"/>
      <c r="E30" s="167"/>
      <c r="F30" s="153"/>
      <c r="G30" s="159"/>
      <c r="H30" s="155"/>
      <c r="I30" s="156">
        <f t="shared" si="0"/>
        <v>0</v>
      </c>
      <c r="K30" s="53"/>
      <c r="L30" s="69"/>
      <c r="N30" s="157"/>
      <c r="O30" s="158"/>
    </row>
    <row r="31" spans="1:15" ht="15.75" customHeight="1">
      <c r="A31" s="150"/>
      <c r="B31" s="151"/>
      <c r="C31" s="162"/>
      <c r="D31" s="166"/>
      <c r="E31" s="167"/>
      <c r="F31" s="153"/>
      <c r="G31" s="159"/>
      <c r="H31" s="155"/>
      <c r="I31" s="156">
        <f t="shared" si="0"/>
        <v>0</v>
      </c>
      <c r="K31" s="165"/>
      <c r="L31" s="69"/>
      <c r="N31" s="157"/>
      <c r="O31" s="158"/>
    </row>
    <row r="32" spans="1:15" ht="15.75" customHeight="1">
      <c r="A32" s="150"/>
      <c r="B32" s="151"/>
      <c r="C32" s="162"/>
      <c r="D32" s="166"/>
      <c r="E32" s="167"/>
      <c r="F32" s="153"/>
      <c r="G32" s="159"/>
      <c r="H32" s="155"/>
      <c r="I32" s="156">
        <f t="shared" si="0"/>
        <v>0</v>
      </c>
      <c r="K32" s="53"/>
      <c r="L32" s="69"/>
      <c r="N32" s="157"/>
      <c r="O32" s="158"/>
    </row>
    <row r="33" spans="1:15" ht="15.75" customHeight="1">
      <c r="A33" s="150"/>
      <c r="B33" s="151"/>
      <c r="C33" s="162"/>
      <c r="D33" s="166"/>
      <c r="E33" s="167"/>
      <c r="F33" s="153"/>
      <c r="G33" s="159"/>
      <c r="H33" s="155"/>
      <c r="I33" s="156">
        <f t="shared" si="0"/>
        <v>0</v>
      </c>
      <c r="K33" s="53"/>
      <c r="L33" s="69"/>
      <c r="N33" s="157"/>
      <c r="O33" s="158"/>
    </row>
    <row r="34" spans="1:15" ht="15.75" customHeight="1">
      <c r="A34" s="150"/>
      <c r="B34" s="151"/>
      <c r="D34" s="166"/>
      <c r="E34" s="167"/>
      <c r="F34" s="153"/>
      <c r="G34" s="159"/>
      <c r="H34" s="155"/>
      <c r="I34" s="156">
        <f>G34*H34</f>
        <v>0</v>
      </c>
      <c r="K34" s="53"/>
      <c r="L34" s="69"/>
      <c r="N34" s="157"/>
      <c r="O34" s="158"/>
    </row>
    <row r="35" spans="1:15" ht="15.75" customHeight="1">
      <c r="A35" s="150"/>
      <c r="B35" s="151"/>
      <c r="C35" s="162"/>
      <c r="D35" s="166"/>
      <c r="E35" s="167"/>
      <c r="F35" s="153"/>
      <c r="G35" s="159"/>
      <c r="H35" s="155"/>
      <c r="I35" s="156">
        <f t="shared" si="0"/>
        <v>0</v>
      </c>
      <c r="K35" s="53"/>
      <c r="L35" s="69"/>
      <c r="N35" s="157"/>
      <c r="O35" s="158"/>
    </row>
    <row r="36" spans="1:15" ht="15.75" customHeight="1">
      <c r="A36" s="150"/>
      <c r="B36" s="151"/>
      <c r="C36" s="162"/>
      <c r="D36" s="166"/>
      <c r="E36" s="167"/>
      <c r="F36" s="153"/>
      <c r="G36" s="159"/>
      <c r="H36" s="155"/>
      <c r="I36" s="156">
        <f t="shared" si="0"/>
        <v>0</v>
      </c>
      <c r="K36" s="53"/>
      <c r="L36" s="69"/>
      <c r="N36" s="157"/>
      <c r="O36" s="158"/>
    </row>
    <row r="37" spans="1:15" ht="15.75" customHeight="1">
      <c r="A37" s="150"/>
      <c r="B37" s="151"/>
      <c r="C37" s="162"/>
      <c r="D37" s="166"/>
      <c r="E37" s="167"/>
      <c r="F37" s="153"/>
      <c r="G37" s="159"/>
      <c r="H37" s="155"/>
      <c r="I37" s="156">
        <f t="shared" si="0"/>
        <v>0</v>
      </c>
      <c r="K37" s="53"/>
      <c r="L37" s="69"/>
      <c r="N37" s="157"/>
      <c r="O37" s="158"/>
    </row>
    <row r="38" spans="1:15" ht="15.75" customHeight="1">
      <c r="A38" s="150"/>
      <c r="B38" s="151"/>
      <c r="C38" s="162"/>
      <c r="D38" s="166"/>
      <c r="E38" s="167"/>
      <c r="F38" s="153"/>
      <c r="G38" s="159"/>
      <c r="H38" s="155"/>
      <c r="I38" s="156">
        <f t="shared" si="0"/>
        <v>0</v>
      </c>
      <c r="K38" s="53"/>
      <c r="L38" s="69"/>
      <c r="N38" s="157"/>
      <c r="O38" s="158"/>
    </row>
    <row r="39" spans="1:15" ht="15.75" customHeight="1">
      <c r="A39" s="150"/>
      <c r="B39" s="151"/>
      <c r="C39" s="168"/>
      <c r="D39" s="168"/>
      <c r="E39" s="169"/>
      <c r="F39" s="153"/>
      <c r="G39" s="159"/>
      <c r="H39" s="155"/>
      <c r="I39" s="156">
        <f t="shared" si="0"/>
        <v>0</v>
      </c>
      <c r="K39" s="53"/>
      <c r="L39" s="69"/>
      <c r="N39" s="157"/>
      <c r="O39" s="158"/>
    </row>
    <row r="40" spans="1:15" ht="15.75" customHeight="1">
      <c r="A40" s="150"/>
      <c r="B40" s="151"/>
      <c r="C40" s="168"/>
      <c r="D40" s="168"/>
      <c r="E40" s="169"/>
      <c r="F40" s="153"/>
      <c r="G40" s="159"/>
      <c r="H40" s="155"/>
      <c r="I40" s="156">
        <f t="shared" si="0"/>
        <v>0</v>
      </c>
      <c r="K40" s="53"/>
      <c r="L40" s="69"/>
      <c r="N40" s="157"/>
      <c r="O40" s="158"/>
    </row>
    <row r="41" spans="1:15" ht="15.75" customHeight="1">
      <c r="A41" s="150"/>
      <c r="B41" s="151"/>
      <c r="C41" s="168"/>
      <c r="D41" s="168"/>
      <c r="E41" s="169"/>
      <c r="F41" s="153"/>
      <c r="G41" s="159"/>
      <c r="H41" s="155"/>
      <c r="I41" s="156">
        <f t="shared" si="0"/>
        <v>0</v>
      </c>
      <c r="K41" s="53"/>
      <c r="L41" s="69"/>
      <c r="N41" s="157"/>
      <c r="O41" s="158"/>
    </row>
    <row r="42" spans="1:15" ht="15.75" customHeight="1">
      <c r="A42" s="150"/>
      <c r="B42" s="151"/>
      <c r="C42" s="168"/>
      <c r="D42" s="168"/>
      <c r="E42" s="169"/>
      <c r="F42" s="153"/>
      <c r="G42" s="159"/>
      <c r="H42" s="155"/>
      <c r="I42" s="156">
        <f t="shared" si="0"/>
        <v>0</v>
      </c>
      <c r="K42" s="53"/>
      <c r="L42" s="69"/>
      <c r="N42" s="157"/>
      <c r="O42" s="158"/>
    </row>
    <row r="43" spans="1:15" ht="15.75" customHeight="1">
      <c r="A43" s="150"/>
      <c r="B43" s="151"/>
      <c r="C43" s="168"/>
      <c r="D43" s="168"/>
      <c r="E43" s="169"/>
      <c r="F43" s="153"/>
      <c r="G43" s="159"/>
      <c r="H43" s="155"/>
      <c r="I43" s="156">
        <f t="shared" si="0"/>
        <v>0</v>
      </c>
      <c r="K43" s="53"/>
      <c r="L43" s="69"/>
      <c r="N43" s="157"/>
      <c r="O43" s="158"/>
    </row>
    <row r="44" spans="1:15" ht="15.75" customHeight="1">
      <c r="A44" s="150"/>
      <c r="B44" s="151"/>
      <c r="C44" s="168"/>
      <c r="D44" s="168"/>
      <c r="E44" s="169"/>
      <c r="F44" s="153"/>
      <c r="G44" s="159"/>
      <c r="H44" s="155"/>
      <c r="I44" s="156">
        <f t="shared" si="0"/>
        <v>0</v>
      </c>
      <c r="K44" s="53"/>
      <c r="L44" s="69"/>
      <c r="N44" s="157"/>
      <c r="O44" s="158"/>
    </row>
    <row r="45" spans="1:15" ht="15.75" customHeight="1">
      <c r="A45" s="150"/>
      <c r="B45" s="151"/>
      <c r="C45" s="162"/>
      <c r="D45" s="162"/>
      <c r="E45" s="169"/>
      <c r="F45" s="153"/>
      <c r="G45" s="159"/>
      <c r="H45" s="155"/>
      <c r="I45" s="156">
        <f t="shared" si="0"/>
        <v>0</v>
      </c>
      <c r="K45" s="53"/>
      <c r="L45" s="69"/>
      <c r="N45" s="157"/>
      <c r="O45" s="158"/>
    </row>
    <row r="46" spans="1:15" ht="15.75" customHeight="1">
      <c r="A46" s="150"/>
      <c r="B46" s="151"/>
      <c r="C46" s="170"/>
      <c r="D46" s="171"/>
      <c r="E46" s="172"/>
      <c r="F46" s="153"/>
      <c r="G46" s="173"/>
      <c r="H46" s="174"/>
      <c r="I46" s="156">
        <f t="shared" si="0"/>
        <v>0</v>
      </c>
      <c r="K46" s="53"/>
      <c r="L46" s="69"/>
    </row>
    <row r="47" spans="1:15" ht="4.5" customHeight="1">
      <c r="A47" s="161"/>
      <c r="B47" s="161"/>
      <c r="F47" s="161"/>
      <c r="K47" s="175"/>
      <c r="L47" s="175"/>
    </row>
    <row r="48" spans="1:15" ht="21.75" customHeight="1">
      <c r="C48" s="1"/>
      <c r="D48" s="1"/>
      <c r="E48" s="1"/>
      <c r="F48" s="1"/>
      <c r="G48" s="610" t="s">
        <v>250</v>
      </c>
      <c r="H48" s="517"/>
      <c r="I48" s="176">
        <f>SUM(I11:I46)</f>
        <v>20</v>
      </c>
      <c r="K48" s="177"/>
      <c r="L48" s="178"/>
    </row>
    <row r="49" spans="1:26" ht="15.75" customHeight="1">
      <c r="A49" s="158"/>
      <c r="B49" s="158"/>
      <c r="C49" s="158"/>
      <c r="D49" s="158"/>
      <c r="E49" s="158"/>
      <c r="F49" s="158"/>
      <c r="G49" s="158"/>
      <c r="H49" s="158"/>
      <c r="I49" s="179"/>
      <c r="J49" s="158"/>
      <c r="K49" s="158"/>
      <c r="M49" s="157"/>
      <c r="O49" s="158"/>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558" t="s">
        <v>254</v>
      </c>
      <c r="B51" s="516"/>
      <c r="C51" s="516"/>
      <c r="D51" s="516"/>
      <c r="E51" s="516"/>
      <c r="F51" s="516"/>
      <c r="G51" s="516"/>
      <c r="H51" s="516"/>
      <c r="I51" s="517"/>
    </row>
    <row r="52" spans="1:26" ht="4.5" customHeight="1">
      <c r="B52" s="1"/>
      <c r="C52" s="1"/>
      <c r="D52" s="1"/>
      <c r="E52" s="1"/>
      <c r="F52" s="1"/>
    </row>
    <row r="53" spans="1:26" ht="15.75" customHeight="1">
      <c r="N53" s="157"/>
    </row>
    <row r="54" spans="1:26" ht="15.75" customHeight="1">
      <c r="N54" s="157"/>
    </row>
    <row r="55" spans="1:26" ht="15.75" customHeight="1">
      <c r="E55" s="1"/>
      <c r="F55" s="180" t="s">
        <v>139</v>
      </c>
      <c r="G55" s="181" t="s">
        <v>148</v>
      </c>
      <c r="H55" s="182" t="s">
        <v>255</v>
      </c>
      <c r="I55" s="183" t="s">
        <v>188</v>
      </c>
    </row>
    <row r="56" spans="1:26" ht="15.75" customHeight="1">
      <c r="E56" s="184" t="s">
        <v>252</v>
      </c>
      <c r="F56" s="123">
        <f>SUMIFS(I11:I46,F11:F46, "Moyen",B11:B46, "Prépa")</f>
        <v>0</v>
      </c>
      <c r="G56" s="124">
        <f>SUMIFS(I11:I46,F11:F46, "Moyen",B11:B46, "Tournage")</f>
        <v>0</v>
      </c>
      <c r="H56" s="125">
        <f>SUMIFS(I11:I46,F11:F46, "Moyen",B11:B46, "Finitions &amp; Post-prod")</f>
        <v>0</v>
      </c>
      <c r="I56" s="183">
        <f t="shared" ref="I56:I60" si="1">SUM(E56:H56)</f>
        <v>0</v>
      </c>
    </row>
    <row r="57" spans="1:26" ht="15.75" customHeight="1">
      <c r="E57" s="185" t="s">
        <v>256</v>
      </c>
      <c r="F57" s="128">
        <f>SUMIFS(I11:I46,F11:F46, "2*",B11:B46, "Prépa")</f>
        <v>0</v>
      </c>
      <c r="G57" s="105">
        <f>SUMIFS(I11:I46,F11:F46, "2*",B11:B46, "Tournage")</f>
        <v>0</v>
      </c>
      <c r="H57" s="129">
        <f>SUMIFS(I11:I46,F11:F46, "2*",B11:B46, "Finitions &amp; Post-prod")</f>
        <v>0</v>
      </c>
      <c r="I57" s="186">
        <f t="shared" si="1"/>
        <v>0</v>
      </c>
    </row>
    <row r="58" spans="1:26" ht="15.75" customHeight="1">
      <c r="E58" s="185" t="s">
        <v>251</v>
      </c>
      <c r="F58" s="128">
        <f>SUMIFS(I11:I46,F11:F46, "3*",B11:B46, "Prépa")</f>
        <v>20</v>
      </c>
      <c r="G58" s="105">
        <f>SUMIFS(I11:I46,F11:F46, "3*",B11:B46, "Tournage")</f>
        <v>0</v>
      </c>
      <c r="H58" s="129">
        <f>SUMIFS(I11:I46,F11:F46, "3*",B11:B46, "Finitions &amp; Post-prod")</f>
        <v>0</v>
      </c>
      <c r="I58" s="186">
        <f t="shared" si="1"/>
        <v>20</v>
      </c>
    </row>
    <row r="59" spans="1:26" ht="15.75" customHeight="1">
      <c r="E59" s="185" t="s">
        <v>253</v>
      </c>
      <c r="F59" s="128">
        <f>SUMIFS(I11:I46,F11:F46, "4*",B11:B46, "Prépa")</f>
        <v>0</v>
      </c>
      <c r="G59" s="105">
        <f>SUMIFS(I11:I46,F11:F46, "4*",B11:B46, "Tournage")</f>
        <v>0</v>
      </c>
      <c r="H59" s="129">
        <f>SUMIFS(I11:I46,F11:F46, "4*",B11:B46, "Finitions &amp; Post-prod")</f>
        <v>0</v>
      </c>
      <c r="I59" s="186">
        <f t="shared" si="1"/>
        <v>0</v>
      </c>
    </row>
    <row r="60" spans="1:26" ht="15.75" customHeight="1">
      <c r="E60" s="186" t="s">
        <v>257</v>
      </c>
      <c r="F60" s="141">
        <f>SUMIFS(I11:I46,F11:F46, "5*",B11:B46, "Prépa")</f>
        <v>0</v>
      </c>
      <c r="G60" s="142">
        <f>SUMIFS(I11:I46,F11:F46, "5*",B11:B46, "Tournage")</f>
        <v>0</v>
      </c>
      <c r="H60" s="116">
        <f>SUMIFS(I11:I46,F11:F46, "5*",B11:B46, "Finitions &amp; Post-prod")</f>
        <v>0</v>
      </c>
      <c r="I60" s="186">
        <f t="shared" si="1"/>
        <v>0</v>
      </c>
    </row>
    <row r="61" spans="1:26" ht="15.75" customHeight="1">
      <c r="E61" s="187" t="s">
        <v>188</v>
      </c>
      <c r="F61" s="188">
        <f t="shared" ref="F61:I61" si="2">SUM(F56:F60)</f>
        <v>20</v>
      </c>
      <c r="G61" s="189">
        <f t="shared" si="2"/>
        <v>0</v>
      </c>
      <c r="H61" s="190">
        <f t="shared" si="2"/>
        <v>0</v>
      </c>
      <c r="I61" s="187">
        <f t="shared" si="2"/>
        <v>20</v>
      </c>
    </row>
    <row r="62" spans="1:26" ht="15.75" customHeight="1"/>
    <row r="63" spans="1:26" ht="15.75" customHeight="1"/>
    <row r="64" spans="1:26" ht="15.75" customHeight="1">
      <c r="E64" s="191"/>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3">
    <mergeCell ref="A2:I2"/>
    <mergeCell ref="G48:H48"/>
    <mergeCell ref="A51:I51"/>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6">
        <x14:dataValidation type="list" allowBlank="1" showErrorMessage="1" xr:uid="{00000000-0002-0000-0700-000000000000}">
          <x14:formula1>
            <xm:f>Données!$F$11:$F$15</xm:f>
          </x14:formula1>
          <xm:sqref>F47</xm:sqref>
        </x14:dataValidation>
        <x14:dataValidation type="list" allowBlank="1" showErrorMessage="1" xr:uid="{00000000-0002-0000-0700-000001000000}">
          <x14:formula1>
            <xm:f>Données!$D$33:$D$35</xm:f>
          </x14:formula1>
          <xm:sqref>A47</xm:sqref>
        </x14:dataValidation>
        <x14:dataValidation type="list" allowBlank="1" showErrorMessage="1" xr:uid="{00000000-0002-0000-0700-000002000000}">
          <x14:formula1>
            <xm:f>Données!$F$12:$F$16</xm:f>
          </x14:formula1>
          <xm:sqref>F11:F46</xm:sqref>
        </x14:dataValidation>
        <x14:dataValidation type="list" allowBlank="1" showErrorMessage="1" xr:uid="{00000000-0002-0000-0700-000003000000}">
          <x14:formula1>
            <xm:f>Données!$D$42:$D$45</xm:f>
          </x14:formula1>
          <xm:sqref>B47</xm:sqref>
        </x14:dataValidation>
        <x14:dataValidation type="list" allowBlank="1" showErrorMessage="1" xr:uid="{00000000-0002-0000-0700-000004000000}">
          <x14:formula1>
            <xm:f>Données!$D$37:$D$39</xm:f>
          </x14:formula1>
          <xm:sqref>A11:A46</xm:sqref>
        </x14:dataValidation>
        <x14:dataValidation type="list" allowBlank="1" showErrorMessage="1" xr:uid="{00000000-0002-0000-0700-000005000000}">
          <x14:formula1>
            <xm:f>Données!$D$49:$D$51</xm:f>
          </x14:formula1>
          <xm:sqref>B11:B46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6BBEB"/>
  </sheetPr>
  <dimension ref="A1:Z1078"/>
  <sheetViews>
    <sheetView zoomScale="75" zoomScaleNormal="75" workbookViewId="0">
      <pane xSplit="7" ySplit="11" topLeftCell="H140" activePane="bottomRight" state="frozen"/>
      <selection pane="topRight" activeCell="H1" sqref="H1"/>
      <selection pane="bottomLeft" activeCell="A12" sqref="A12"/>
      <selection pane="bottomRight" activeCell="P201" sqref="P201"/>
    </sheetView>
  </sheetViews>
  <sheetFormatPr baseColWidth="10" defaultColWidth="11.125" defaultRowHeight="15" customHeight="1"/>
  <cols>
    <col min="1" max="1" width="8.875" customWidth="1"/>
    <col min="2" max="2" width="19.5" customWidth="1"/>
    <col min="3" max="3" width="18.5" customWidth="1"/>
    <col min="4" max="4" width="44.625" customWidth="1"/>
    <col min="5" max="5" width="10.625" customWidth="1"/>
    <col min="6" max="6" width="10.5" customWidth="1"/>
    <col min="7" max="7" width="11.5" customWidth="1"/>
    <col min="8" max="9" width="11" customWidth="1"/>
    <col min="10" max="12" width="14.5" customWidth="1"/>
    <col min="13" max="13" width="18" bestFit="1" customWidth="1"/>
    <col min="14" max="14" width="18.5" bestFit="1" customWidth="1"/>
    <col min="15" max="15" width="19.25" bestFit="1" customWidth="1"/>
    <col min="16" max="26" width="11" customWidth="1"/>
  </cols>
  <sheetData>
    <row r="1" spans="1:26" ht="15.75" customHeight="1"/>
    <row r="2" spans="1:26" ht="15.75" customHeight="1">
      <c r="A2" s="560" t="s">
        <v>258</v>
      </c>
      <c r="B2" s="516"/>
      <c r="C2" s="516"/>
      <c r="D2" s="516"/>
      <c r="E2" s="516"/>
      <c r="F2" s="516"/>
      <c r="G2" s="517"/>
    </row>
    <row r="3" spans="1:26" ht="15.75" customHeight="1">
      <c r="A3" s="6"/>
      <c r="B3" s="6"/>
      <c r="C3" s="6"/>
      <c r="D3" s="6"/>
      <c r="E3" s="6"/>
      <c r="F3" s="6"/>
      <c r="G3" s="6"/>
      <c r="H3" s="6"/>
      <c r="I3" s="6"/>
      <c r="J3" s="6"/>
      <c r="K3" s="6"/>
      <c r="L3" s="6"/>
      <c r="M3" s="6"/>
      <c r="N3" s="6"/>
      <c r="O3" s="6"/>
      <c r="P3" s="6"/>
      <c r="Q3" s="6"/>
      <c r="R3" s="6"/>
      <c r="S3" s="6"/>
      <c r="T3" s="6"/>
      <c r="U3" s="6"/>
      <c r="V3" s="6"/>
      <c r="W3" s="6"/>
      <c r="X3" s="6"/>
      <c r="Y3" s="6"/>
      <c r="Z3" s="6"/>
    </row>
    <row r="4" spans="1:26" ht="15.75" customHeight="1">
      <c r="A4" s="192"/>
      <c r="B4" s="192" t="s">
        <v>807</v>
      </c>
      <c r="C4" s="192"/>
      <c r="D4" s="192"/>
      <c r="E4" s="192"/>
      <c r="F4" s="192"/>
      <c r="G4" s="192"/>
      <c r="H4" s="192"/>
      <c r="I4" s="192"/>
      <c r="J4" s="192"/>
      <c r="K4" s="192"/>
      <c r="L4" s="192"/>
      <c r="M4" s="192"/>
      <c r="N4" s="192"/>
      <c r="O4" s="192"/>
      <c r="P4" s="192"/>
      <c r="Q4" s="192"/>
      <c r="R4" s="192"/>
      <c r="S4" s="192"/>
      <c r="T4" s="192"/>
      <c r="U4" s="192"/>
      <c r="V4" s="192"/>
      <c r="W4" s="192"/>
      <c r="X4" s="192"/>
      <c r="Y4" s="192"/>
      <c r="Z4" s="192"/>
    </row>
    <row r="5" spans="1:26" ht="15.75" customHeight="1">
      <c r="A5" s="12"/>
      <c r="B5" s="33" t="s">
        <v>111</v>
      </c>
      <c r="C5" s="12"/>
      <c r="D5" s="12"/>
      <c r="E5" s="12"/>
      <c r="F5" s="12"/>
      <c r="G5" s="12"/>
      <c r="H5" s="12"/>
      <c r="I5" s="12"/>
      <c r="J5" s="12"/>
      <c r="K5" s="12"/>
      <c r="L5" s="12"/>
      <c r="M5" s="12"/>
      <c r="N5" s="12"/>
      <c r="O5" s="12"/>
      <c r="P5" s="12"/>
      <c r="Q5" s="12"/>
      <c r="R5" s="12"/>
      <c r="S5" s="12"/>
      <c r="T5" s="12"/>
      <c r="U5" s="12"/>
      <c r="V5" s="12"/>
      <c r="W5" s="12"/>
      <c r="X5" s="12"/>
      <c r="Y5" s="12"/>
      <c r="Z5" s="12"/>
    </row>
    <row r="6" spans="1:26" ht="15.75" customHeight="1">
      <c r="A6" s="12"/>
      <c r="B6" s="34" t="s">
        <v>112</v>
      </c>
      <c r="C6" s="12"/>
      <c r="D6" s="12"/>
      <c r="E6" s="12"/>
      <c r="F6" s="12"/>
      <c r="G6" s="12"/>
      <c r="H6" s="12"/>
      <c r="I6" s="12"/>
      <c r="J6" s="12"/>
      <c r="K6" s="12"/>
      <c r="L6" s="12"/>
      <c r="M6" s="12"/>
      <c r="N6" s="12"/>
      <c r="O6" s="12"/>
      <c r="P6" s="12"/>
      <c r="Q6" s="12"/>
      <c r="R6" s="12"/>
      <c r="S6" s="12"/>
      <c r="T6" s="12"/>
      <c r="U6" s="12"/>
      <c r="V6" s="12"/>
      <c r="W6" s="12"/>
      <c r="X6" s="12"/>
      <c r="Y6" s="12"/>
      <c r="Z6" s="12"/>
    </row>
    <row r="7" spans="1:26" ht="15.75" customHeight="1">
      <c r="A7" s="12"/>
      <c r="B7" s="143" t="s">
        <v>244</v>
      </c>
      <c r="C7" s="12"/>
      <c r="D7" s="12"/>
      <c r="E7" s="12"/>
      <c r="F7" s="12"/>
      <c r="G7" s="12"/>
      <c r="H7" s="12"/>
      <c r="I7" s="12"/>
      <c r="J7" s="12"/>
      <c r="K7" s="12"/>
      <c r="L7" s="12"/>
      <c r="M7" s="12"/>
      <c r="N7" s="12"/>
      <c r="O7" s="12"/>
      <c r="P7" s="12"/>
      <c r="Q7" s="12"/>
      <c r="R7" s="12"/>
      <c r="S7" s="12"/>
      <c r="T7" s="12"/>
      <c r="U7" s="12"/>
      <c r="V7" s="12"/>
      <c r="W7" s="12"/>
      <c r="X7" s="12"/>
      <c r="Y7" s="12"/>
      <c r="Z7" s="12"/>
    </row>
    <row r="8" spans="1:26" ht="15.75" customHeight="1">
      <c r="A8" s="12"/>
      <c r="B8" s="3" t="s">
        <v>784</v>
      </c>
      <c r="C8" s="12"/>
      <c r="D8" s="12"/>
      <c r="E8" s="12"/>
      <c r="F8" s="12"/>
      <c r="G8" s="12"/>
      <c r="H8" s="12"/>
      <c r="I8" s="12"/>
      <c r="J8" s="12"/>
      <c r="K8" s="12"/>
      <c r="L8" s="12"/>
      <c r="M8" s="12"/>
      <c r="N8" s="12"/>
      <c r="O8" s="12"/>
      <c r="P8" s="12"/>
      <c r="Q8" s="12"/>
      <c r="R8" s="12"/>
      <c r="S8" s="12"/>
      <c r="T8" s="12"/>
      <c r="U8" s="12"/>
      <c r="V8" s="12"/>
      <c r="W8" s="12"/>
      <c r="X8" s="12"/>
      <c r="Y8" s="12"/>
      <c r="Z8" s="12"/>
    </row>
    <row r="9" spans="1:26" ht="15.75" customHeight="1">
      <c r="A9" s="12"/>
      <c r="B9" s="3" t="s">
        <v>259</v>
      </c>
      <c r="C9" s="12"/>
      <c r="D9" s="12"/>
      <c r="E9" s="12"/>
      <c r="F9" s="12"/>
      <c r="G9" s="12"/>
      <c r="H9" s="12"/>
      <c r="I9" s="12"/>
      <c r="J9" s="12"/>
      <c r="K9" s="12"/>
      <c r="L9" s="12"/>
      <c r="M9" s="12"/>
      <c r="N9" s="12"/>
      <c r="O9" s="12"/>
      <c r="P9" s="12"/>
      <c r="Q9" s="12"/>
      <c r="R9" s="12"/>
      <c r="S9" s="12"/>
      <c r="T9" s="12"/>
      <c r="U9" s="12"/>
      <c r="V9" s="12"/>
      <c r="W9" s="12"/>
      <c r="X9" s="12"/>
      <c r="Y9" s="12"/>
      <c r="Z9" s="12"/>
    </row>
    <row r="10" spans="1:26" ht="15.75" customHeight="1">
      <c r="A10" s="1"/>
      <c r="B10" s="1"/>
      <c r="C10" s="1"/>
      <c r="D10" s="1"/>
      <c r="E10" s="1"/>
      <c r="F10" s="1"/>
      <c r="G10" s="1"/>
      <c r="H10" s="1"/>
      <c r="I10" s="1"/>
      <c r="J10" s="4"/>
      <c r="K10" s="4"/>
      <c r="L10" s="4"/>
      <c r="M10" s="1"/>
      <c r="N10" s="1"/>
      <c r="O10" s="157"/>
      <c r="P10" s="157"/>
      <c r="Q10" s="157"/>
      <c r="R10" s="158"/>
      <c r="S10" s="158"/>
      <c r="T10" s="158"/>
      <c r="U10" s="158"/>
      <c r="V10" s="158"/>
      <c r="W10" s="158"/>
      <c r="X10" s="158"/>
      <c r="Y10" s="158"/>
    </row>
    <row r="11" spans="1:26" ht="1.5" customHeight="1">
      <c r="A11" s="144" t="s">
        <v>114</v>
      </c>
      <c r="B11" s="145" t="s">
        <v>199</v>
      </c>
      <c r="C11" s="193" t="s">
        <v>260</v>
      </c>
      <c r="D11" s="193" t="s">
        <v>261</v>
      </c>
      <c r="E11" s="145" t="s">
        <v>262</v>
      </c>
      <c r="F11" s="145" t="s">
        <v>263</v>
      </c>
      <c r="G11" s="146" t="s">
        <v>264</v>
      </c>
      <c r="H11" s="1"/>
      <c r="I11" s="1"/>
      <c r="J11" s="611" t="s">
        <v>265</v>
      </c>
      <c r="K11" s="516"/>
      <c r="L11" s="516"/>
      <c r="M11" s="516"/>
      <c r="N11" s="516"/>
      <c r="O11" s="517"/>
      <c r="P11" s="194"/>
      <c r="Q11" s="194"/>
      <c r="R11" s="194"/>
      <c r="S11" s="194"/>
      <c r="T11" s="158"/>
      <c r="U11" s="158"/>
      <c r="V11" s="158"/>
      <c r="W11" s="158"/>
      <c r="X11" s="158"/>
      <c r="Y11" s="158"/>
    </row>
    <row r="12" spans="1:26" ht="4.5" customHeight="1">
      <c r="A12" s="6"/>
      <c r="B12" s="11"/>
      <c r="C12" s="6"/>
      <c r="D12" s="6"/>
      <c r="E12" s="6"/>
      <c r="F12" s="6"/>
      <c r="G12" s="6"/>
      <c r="H12" s="6"/>
      <c r="I12" s="6"/>
      <c r="J12" s="6"/>
      <c r="K12" s="6"/>
      <c r="L12" s="6"/>
      <c r="M12" s="6"/>
      <c r="N12" s="6"/>
      <c r="O12" s="6"/>
      <c r="P12" s="6"/>
      <c r="Q12" s="6"/>
      <c r="R12" s="6"/>
      <c r="S12" s="6"/>
      <c r="T12" s="6"/>
      <c r="U12" s="6"/>
      <c r="V12" s="6"/>
      <c r="W12" s="6"/>
      <c r="X12" s="6"/>
      <c r="Y12" s="6"/>
      <c r="Z12" s="6"/>
    </row>
    <row r="13" spans="1:26" ht="18" customHeight="1">
      <c r="A13" s="6"/>
      <c r="B13" s="612" t="s">
        <v>176</v>
      </c>
      <c r="C13" s="521"/>
      <c r="D13" s="521"/>
      <c r="E13" s="521"/>
      <c r="F13" s="521"/>
      <c r="G13" s="519"/>
      <c r="H13" s="6"/>
      <c r="I13" s="6"/>
      <c r="P13" s="6"/>
      <c r="Q13" s="6"/>
      <c r="R13" s="6"/>
      <c r="S13" s="6"/>
      <c r="T13" s="6"/>
      <c r="U13" s="6"/>
      <c r="V13" s="6"/>
      <c r="W13" s="6"/>
      <c r="X13" s="6"/>
      <c r="Y13" s="6"/>
      <c r="Z13" s="6"/>
    </row>
    <row r="14" spans="1:26" ht="4.5" customHeight="1" thickBot="1">
      <c r="A14" s="6"/>
      <c r="B14" s="11"/>
      <c r="C14" s="6"/>
      <c r="D14" s="6"/>
      <c r="E14" s="6"/>
      <c r="F14" s="6"/>
      <c r="G14" s="6"/>
      <c r="H14" s="6"/>
      <c r="I14" s="6"/>
      <c r="J14" s="6"/>
      <c r="K14" s="6"/>
      <c r="L14" s="6"/>
      <c r="M14" s="6"/>
      <c r="N14" s="6"/>
      <c r="O14" s="6"/>
      <c r="P14" s="6"/>
      <c r="Q14" s="6"/>
      <c r="R14" s="6"/>
      <c r="S14" s="6"/>
      <c r="T14" s="6"/>
      <c r="U14" s="6"/>
      <c r="V14" s="6"/>
      <c r="W14" s="6"/>
      <c r="X14" s="6"/>
      <c r="Y14" s="6"/>
      <c r="Z14" s="6"/>
    </row>
    <row r="15" spans="1:26" ht="16.5" thickBot="1">
      <c r="A15" s="6"/>
      <c r="B15" s="746" t="s">
        <v>796</v>
      </c>
      <c r="C15" s="513" t="s">
        <v>797</v>
      </c>
      <c r="D15" s="513" t="s">
        <v>798</v>
      </c>
      <c r="E15" s="513" t="s">
        <v>799</v>
      </c>
      <c r="F15" s="502" t="s">
        <v>806</v>
      </c>
      <c r="G15" s="513" t="s">
        <v>800</v>
      </c>
      <c r="H15" s="6"/>
      <c r="I15" s="6"/>
      <c r="J15" s="195" t="s">
        <v>266</v>
      </c>
      <c r="K15" s="196" t="s">
        <v>267</v>
      </c>
      <c r="L15" s="196" t="s">
        <v>802</v>
      </c>
      <c r="M15" s="196" t="s">
        <v>803</v>
      </c>
      <c r="N15" s="196" t="s">
        <v>804</v>
      </c>
      <c r="O15" s="197" t="s">
        <v>805</v>
      </c>
      <c r="P15" s="6"/>
      <c r="Q15" s="6"/>
      <c r="R15" s="6"/>
      <c r="S15" s="6"/>
      <c r="T15" s="6"/>
      <c r="U15" s="6"/>
      <c r="V15" s="6"/>
      <c r="W15" s="6"/>
      <c r="X15" s="6"/>
      <c r="Y15" s="6"/>
      <c r="Z15" s="6"/>
    </row>
    <row r="16" spans="1:26" ht="18" customHeight="1">
      <c r="A16" s="75" t="s">
        <v>136</v>
      </c>
      <c r="B16" s="740" t="s">
        <v>268</v>
      </c>
      <c r="C16" s="741"/>
      <c r="D16" s="742" t="s">
        <v>801</v>
      </c>
      <c r="E16" s="743">
        <v>932</v>
      </c>
      <c r="F16" s="744">
        <v>2</v>
      </c>
      <c r="G16" s="745">
        <f t="shared" ref="G16:G67" si="0">E16*F16</f>
        <v>1864</v>
      </c>
      <c r="H16" s="201"/>
      <c r="I16" s="1"/>
      <c r="J16" s="202" t="s">
        <v>269</v>
      </c>
      <c r="K16" s="202" t="s">
        <v>794</v>
      </c>
      <c r="L16" s="203">
        <v>465</v>
      </c>
      <c r="M16" s="203">
        <v>391</v>
      </c>
      <c r="N16" s="203">
        <v>413</v>
      </c>
      <c r="O16" s="204" t="s">
        <v>50</v>
      </c>
      <c r="P16" s="158"/>
      <c r="Q16" s="158"/>
      <c r="R16" s="158"/>
      <c r="S16" s="158"/>
    </row>
    <row r="17" spans="1:19" ht="18" customHeight="1">
      <c r="A17" s="75"/>
      <c r="B17" s="198"/>
      <c r="C17" s="8"/>
      <c r="D17" s="708"/>
      <c r="E17" s="709"/>
      <c r="F17" s="710"/>
      <c r="G17" s="200">
        <f t="shared" si="0"/>
        <v>0</v>
      </c>
      <c r="H17" s="201"/>
      <c r="I17" s="1"/>
      <c r="J17" s="202"/>
      <c r="K17" s="202"/>
      <c r="L17" s="203"/>
      <c r="M17" s="203"/>
      <c r="N17" s="203"/>
      <c r="O17" s="204"/>
      <c r="P17" s="158"/>
      <c r="Q17" s="158"/>
      <c r="R17" s="158"/>
      <c r="S17" s="158"/>
    </row>
    <row r="18" spans="1:19" ht="18" customHeight="1">
      <c r="A18" s="75"/>
      <c r="B18" s="198"/>
      <c r="C18" s="52"/>
      <c r="D18" s="711"/>
      <c r="E18" s="712"/>
      <c r="F18" s="710"/>
      <c r="G18" s="200">
        <f t="shared" si="0"/>
        <v>0</v>
      </c>
      <c r="H18" s="201"/>
      <c r="I18" s="1"/>
      <c r="J18" s="202"/>
      <c r="K18" s="202"/>
      <c r="L18" s="203"/>
      <c r="M18" s="203"/>
      <c r="N18" s="203"/>
      <c r="O18" s="206"/>
      <c r="P18" s="158"/>
      <c r="Q18" s="158"/>
      <c r="R18" s="158"/>
      <c r="S18" s="158"/>
    </row>
    <row r="19" spans="1:19" ht="18" customHeight="1">
      <c r="A19" s="75"/>
      <c r="B19" s="198"/>
      <c r="C19" s="53"/>
      <c r="D19" s="711"/>
      <c r="E19" s="712"/>
      <c r="F19" s="710"/>
      <c r="G19" s="200">
        <f t="shared" si="0"/>
        <v>0</v>
      </c>
      <c r="H19" s="1"/>
      <c r="I19" s="1"/>
      <c r="J19" s="207"/>
      <c r="K19" s="207"/>
      <c r="L19" s="203"/>
      <c r="M19" s="203"/>
      <c r="N19" s="203"/>
      <c r="O19" s="204"/>
      <c r="P19" s="158"/>
      <c r="Q19" s="158"/>
      <c r="R19" s="158"/>
      <c r="S19" s="158"/>
    </row>
    <row r="20" spans="1:19" ht="18" customHeight="1">
      <c r="A20" s="75"/>
      <c r="B20" s="198"/>
      <c r="C20" s="8"/>
      <c r="D20" s="713"/>
      <c r="E20" s="709"/>
      <c r="F20" s="714"/>
      <c r="G20" s="200">
        <f t="shared" si="0"/>
        <v>0</v>
      </c>
      <c r="H20" s="201"/>
      <c r="I20" s="1"/>
      <c r="J20" s="207"/>
      <c r="K20" s="207"/>
      <c r="L20" s="203"/>
      <c r="M20" s="203"/>
      <c r="N20" s="203"/>
      <c r="O20" s="204"/>
      <c r="P20" s="158"/>
      <c r="Q20" s="158"/>
      <c r="R20" s="158"/>
      <c r="S20" s="158"/>
    </row>
    <row r="21" spans="1:19" ht="18" customHeight="1">
      <c r="A21" s="75"/>
      <c r="B21" s="198"/>
      <c r="C21" s="52"/>
      <c r="D21" s="715"/>
      <c r="E21" s="709"/>
      <c r="F21" s="714"/>
      <c r="G21" s="200">
        <f t="shared" si="0"/>
        <v>0</v>
      </c>
      <c r="H21" s="201"/>
      <c r="I21" s="1"/>
      <c r="J21" s="207"/>
      <c r="K21" s="207"/>
      <c r="L21" s="203"/>
      <c r="M21" s="203"/>
      <c r="N21" s="203"/>
      <c r="O21" s="204"/>
      <c r="P21" s="158"/>
      <c r="Q21" s="158"/>
      <c r="R21" s="158"/>
      <c r="S21" s="158"/>
    </row>
    <row r="22" spans="1:19" ht="18" customHeight="1">
      <c r="A22" s="75"/>
      <c r="B22" s="198"/>
      <c r="C22" s="52"/>
      <c r="D22" s="715"/>
      <c r="E22" s="716"/>
      <c r="F22" s="717"/>
      <c r="G22" s="200">
        <f t="shared" si="0"/>
        <v>0</v>
      </c>
      <c r="H22" s="1"/>
      <c r="I22" s="1"/>
      <c r="J22" s="207"/>
      <c r="K22" s="207"/>
      <c r="L22" s="203"/>
      <c r="M22" s="203"/>
      <c r="N22" s="203"/>
      <c r="O22" s="204"/>
      <c r="P22" s="158"/>
      <c r="Q22" s="158"/>
      <c r="R22" s="158"/>
      <c r="S22" s="158"/>
    </row>
    <row r="23" spans="1:19" ht="18" customHeight="1">
      <c r="A23" s="75"/>
      <c r="B23" s="198"/>
      <c r="C23" s="53"/>
      <c r="D23" s="715"/>
      <c r="E23" s="712"/>
      <c r="F23" s="718"/>
      <c r="G23" s="200">
        <f t="shared" si="0"/>
        <v>0</v>
      </c>
      <c r="H23" s="1"/>
      <c r="I23" s="1"/>
      <c r="J23" s="207"/>
      <c r="K23" s="207"/>
      <c r="L23" s="203"/>
      <c r="M23" s="203"/>
      <c r="N23" s="203"/>
      <c r="O23" s="204"/>
      <c r="P23" s="158"/>
      <c r="Q23" s="158"/>
      <c r="R23" s="158"/>
      <c r="S23" s="158"/>
    </row>
    <row r="24" spans="1:19" ht="18" customHeight="1">
      <c r="A24" s="75"/>
      <c r="B24" s="198"/>
      <c r="C24" s="53"/>
      <c r="D24" s="719"/>
      <c r="E24" s="712"/>
      <c r="F24" s="720"/>
      <c r="G24" s="200">
        <f t="shared" si="0"/>
        <v>0</v>
      </c>
      <c r="H24" s="201"/>
      <c r="I24" s="1"/>
      <c r="J24" s="207"/>
      <c r="K24" s="207"/>
      <c r="L24" s="203"/>
      <c r="M24" s="203"/>
      <c r="N24" s="203"/>
      <c r="O24" s="204"/>
      <c r="P24" s="158"/>
      <c r="Q24" s="158"/>
      <c r="R24" s="158"/>
      <c r="S24" s="158"/>
    </row>
    <row r="25" spans="1:19" ht="18" customHeight="1">
      <c r="A25" s="75"/>
      <c r="B25" s="198"/>
      <c r="C25" s="53"/>
      <c r="D25" s="721"/>
      <c r="E25" s="712"/>
      <c r="F25" s="722"/>
      <c r="G25" s="200">
        <f t="shared" si="0"/>
        <v>0</v>
      </c>
      <c r="H25" s="1"/>
      <c r="I25" s="1"/>
      <c r="J25" s="207"/>
      <c r="K25" s="207"/>
      <c r="L25" s="203"/>
      <c r="M25" s="203"/>
      <c r="N25" s="203"/>
      <c r="O25" s="204"/>
      <c r="P25" s="158"/>
      <c r="Q25" s="158"/>
      <c r="R25" s="158"/>
      <c r="S25" s="158"/>
    </row>
    <row r="26" spans="1:19" ht="18" customHeight="1">
      <c r="A26" s="75"/>
      <c r="B26" s="198"/>
      <c r="C26" s="53"/>
      <c r="D26" s="723"/>
      <c r="E26" s="712"/>
      <c r="F26" s="724"/>
      <c r="G26" s="200">
        <f t="shared" si="0"/>
        <v>0</v>
      </c>
      <c r="H26" s="201"/>
      <c r="I26" s="1"/>
      <c r="J26" s="207"/>
      <c r="K26" s="207"/>
      <c r="L26" s="203"/>
      <c r="M26" s="203"/>
      <c r="N26" s="203"/>
      <c r="O26" s="204"/>
      <c r="P26" s="158"/>
      <c r="Q26" s="158"/>
      <c r="R26" s="158"/>
      <c r="S26" s="158"/>
    </row>
    <row r="27" spans="1:19" ht="18" customHeight="1">
      <c r="A27" s="75"/>
      <c r="B27" s="198"/>
      <c r="C27" s="8"/>
      <c r="D27" s="725"/>
      <c r="E27" s="709"/>
      <c r="F27" s="726"/>
      <c r="G27" s="200">
        <f t="shared" si="0"/>
        <v>0</v>
      </c>
      <c r="H27" s="1"/>
      <c r="I27" s="1"/>
      <c r="J27" s="207"/>
      <c r="K27" s="207"/>
      <c r="L27" s="203"/>
      <c r="M27" s="203"/>
      <c r="N27" s="203"/>
      <c r="O27" s="204"/>
      <c r="P27" s="158"/>
      <c r="Q27" s="158"/>
      <c r="R27" s="158"/>
      <c r="S27" s="158"/>
    </row>
    <row r="28" spans="1:19" ht="18" customHeight="1">
      <c r="A28" s="75"/>
      <c r="B28" s="198"/>
      <c r="C28" s="8"/>
      <c r="D28" s="727"/>
      <c r="E28" s="709"/>
      <c r="F28" s="728"/>
      <c r="G28" s="200">
        <f t="shared" si="0"/>
        <v>0</v>
      </c>
      <c r="H28" s="1"/>
      <c r="I28" s="1"/>
      <c r="J28" s="207"/>
      <c r="K28" s="207"/>
      <c r="L28" s="203"/>
      <c r="M28" s="203"/>
      <c r="N28" s="203"/>
      <c r="O28" s="204"/>
      <c r="P28" s="158"/>
      <c r="Q28" s="158"/>
      <c r="R28" s="158"/>
      <c r="S28" s="158"/>
    </row>
    <row r="29" spans="1:19" ht="18" customHeight="1">
      <c r="A29" s="75"/>
      <c r="B29" s="198"/>
      <c r="C29" s="8"/>
      <c r="D29" s="729"/>
      <c r="E29" s="709"/>
      <c r="F29" s="730"/>
      <c r="G29" s="200">
        <f t="shared" si="0"/>
        <v>0</v>
      </c>
      <c r="H29" s="1"/>
      <c r="I29" s="1"/>
      <c r="J29" s="207"/>
      <c r="K29" s="207"/>
      <c r="L29" s="203"/>
      <c r="M29" s="203"/>
      <c r="N29" s="203"/>
      <c r="O29" s="204"/>
      <c r="P29" s="158"/>
      <c r="Q29" s="158"/>
      <c r="R29" s="158"/>
      <c r="S29" s="158"/>
    </row>
    <row r="30" spans="1:19" ht="18" customHeight="1">
      <c r="A30" s="75"/>
      <c r="B30" s="198"/>
      <c r="C30" s="8"/>
      <c r="D30" s="731"/>
      <c r="E30" s="709"/>
      <c r="F30" s="732"/>
      <c r="G30" s="200">
        <f t="shared" si="0"/>
        <v>0</v>
      </c>
      <c r="H30" s="1"/>
      <c r="I30" s="1"/>
      <c r="J30" s="207"/>
      <c r="K30" s="207"/>
      <c r="L30" s="203"/>
      <c r="M30" s="203"/>
      <c r="N30" s="203"/>
      <c r="O30" s="204"/>
      <c r="P30" s="158"/>
      <c r="Q30" s="158"/>
      <c r="R30" s="158"/>
      <c r="S30" s="158"/>
    </row>
    <row r="31" spans="1:19" ht="18" customHeight="1">
      <c r="A31" s="75"/>
      <c r="B31" s="198"/>
      <c r="C31" s="68"/>
      <c r="D31" s="713"/>
      <c r="E31" s="709"/>
      <c r="F31" s="714"/>
      <c r="G31" s="200">
        <f t="shared" si="0"/>
        <v>0</v>
      </c>
      <c r="H31" s="1"/>
      <c r="I31" s="1"/>
      <c r="J31" s="207"/>
      <c r="K31" s="207"/>
      <c r="L31" s="203"/>
      <c r="M31" s="203"/>
      <c r="N31" s="203"/>
      <c r="O31" s="204"/>
      <c r="P31" s="158"/>
      <c r="Q31" s="158"/>
      <c r="R31" s="158"/>
      <c r="S31" s="158"/>
    </row>
    <row r="32" spans="1:19" ht="18" customHeight="1">
      <c r="A32" s="75"/>
      <c r="B32" s="198"/>
      <c r="C32" s="68"/>
      <c r="D32" s="713"/>
      <c r="E32" s="709"/>
      <c r="F32" s="714"/>
      <c r="G32" s="200">
        <f t="shared" si="0"/>
        <v>0</v>
      </c>
      <c r="H32" s="1"/>
      <c r="I32" s="1"/>
      <c r="J32" s="207"/>
      <c r="K32" s="207"/>
      <c r="L32" s="203"/>
      <c r="M32" s="203"/>
      <c r="N32" s="203"/>
      <c r="O32" s="204"/>
      <c r="P32" s="158"/>
      <c r="Q32" s="158"/>
      <c r="R32" s="158"/>
      <c r="S32" s="158"/>
    </row>
    <row r="33" spans="1:19" ht="18" customHeight="1">
      <c r="A33" s="75"/>
      <c r="B33" s="198"/>
      <c r="C33" s="52"/>
      <c r="D33" s="733"/>
      <c r="E33" s="716"/>
      <c r="F33" s="710"/>
      <c r="G33" s="200">
        <f t="shared" si="0"/>
        <v>0</v>
      </c>
      <c r="H33" s="1"/>
      <c r="I33" s="1"/>
      <c r="J33" s="207"/>
      <c r="K33" s="207"/>
      <c r="L33" s="203"/>
      <c r="M33" s="203"/>
      <c r="N33" s="203"/>
      <c r="O33" s="204"/>
      <c r="P33" s="158"/>
      <c r="Q33" s="158"/>
      <c r="R33" s="158"/>
      <c r="S33" s="158"/>
    </row>
    <row r="34" spans="1:19" ht="18" customHeight="1">
      <c r="A34" s="75"/>
      <c r="B34" s="198"/>
      <c r="C34" s="53"/>
      <c r="D34" s="734"/>
      <c r="E34" s="712"/>
      <c r="F34" s="710"/>
      <c r="G34" s="200">
        <f t="shared" si="0"/>
        <v>0</v>
      </c>
      <c r="H34" s="1"/>
      <c r="I34" s="1"/>
      <c r="J34" s="207"/>
      <c r="K34" s="207"/>
      <c r="L34" s="203"/>
      <c r="M34" s="203"/>
      <c r="N34" s="203"/>
      <c r="O34" s="204"/>
      <c r="P34" s="158"/>
      <c r="Q34" s="158"/>
      <c r="R34" s="158"/>
      <c r="S34" s="158"/>
    </row>
    <row r="35" spans="1:19" ht="18" customHeight="1">
      <c r="A35" s="75"/>
      <c r="B35" s="198"/>
      <c r="C35" s="53"/>
      <c r="D35" s="734"/>
      <c r="E35" s="712"/>
      <c r="F35" s="710"/>
      <c r="G35" s="200">
        <f t="shared" si="0"/>
        <v>0</v>
      </c>
      <c r="H35" s="1"/>
      <c r="I35" s="1"/>
      <c r="J35" s="207"/>
      <c r="K35" s="207"/>
      <c r="L35" s="203"/>
      <c r="M35" s="203"/>
      <c r="N35" s="203"/>
      <c r="O35" s="204"/>
      <c r="P35" s="158"/>
      <c r="Q35" s="158"/>
      <c r="R35" s="158"/>
      <c r="S35" s="158"/>
    </row>
    <row r="36" spans="1:19" ht="18" customHeight="1">
      <c r="A36" s="75"/>
      <c r="B36" s="198"/>
      <c r="C36" s="53"/>
      <c r="D36" s="734"/>
      <c r="E36" s="712"/>
      <c r="F36" s="710"/>
      <c r="G36" s="200">
        <f t="shared" si="0"/>
        <v>0</v>
      </c>
      <c r="H36" s="1"/>
      <c r="I36" s="1"/>
      <c r="J36" s="207"/>
      <c r="K36" s="207"/>
      <c r="L36" s="203"/>
      <c r="M36" s="203"/>
      <c r="N36" s="203"/>
      <c r="O36" s="204"/>
      <c r="P36" s="158"/>
      <c r="Q36" s="158"/>
      <c r="R36" s="158"/>
      <c r="S36" s="158"/>
    </row>
    <row r="37" spans="1:19" ht="18" customHeight="1">
      <c r="A37" s="75"/>
      <c r="B37" s="198"/>
      <c r="C37" s="53"/>
      <c r="D37" s="735"/>
      <c r="E37" s="709"/>
      <c r="F37" s="710"/>
      <c r="G37" s="200">
        <f t="shared" si="0"/>
        <v>0</v>
      </c>
      <c r="H37" s="1"/>
      <c r="I37" s="1"/>
      <c r="J37" s="207"/>
      <c r="K37" s="207"/>
      <c r="L37" s="203"/>
      <c r="M37" s="203"/>
      <c r="N37" s="203"/>
      <c r="O37" s="204"/>
      <c r="P37" s="158"/>
      <c r="Q37" s="158"/>
      <c r="R37" s="158"/>
      <c r="S37" s="158"/>
    </row>
    <row r="38" spans="1:19" ht="18" customHeight="1">
      <c r="A38" s="75"/>
      <c r="B38" s="198"/>
      <c r="C38" s="53"/>
      <c r="D38" s="733"/>
      <c r="E38" s="709"/>
      <c r="F38" s="710"/>
      <c r="G38" s="200">
        <f t="shared" si="0"/>
        <v>0</v>
      </c>
      <c r="H38" s="1"/>
      <c r="I38" s="1"/>
      <c r="J38" s="207"/>
      <c r="K38" s="207"/>
      <c r="L38" s="203"/>
      <c r="M38" s="203"/>
      <c r="N38" s="203"/>
      <c r="O38" s="204"/>
      <c r="P38" s="158"/>
      <c r="Q38" s="158"/>
      <c r="R38" s="158"/>
      <c r="S38" s="158"/>
    </row>
    <row r="39" spans="1:19" ht="18" customHeight="1">
      <c r="A39" s="75"/>
      <c r="B39" s="198"/>
      <c r="C39" s="208"/>
      <c r="D39" s="736"/>
      <c r="E39" s="737"/>
      <c r="F39" s="738"/>
      <c r="G39" s="200">
        <f t="shared" si="0"/>
        <v>0</v>
      </c>
      <c r="H39" s="1"/>
      <c r="I39" s="1"/>
      <c r="J39" s="207"/>
      <c r="K39" s="207"/>
      <c r="L39" s="203"/>
      <c r="M39" s="203"/>
      <c r="N39" s="203"/>
      <c r="O39" s="204"/>
      <c r="P39" s="158"/>
      <c r="Q39" s="158"/>
      <c r="R39" s="158"/>
      <c r="S39" s="158"/>
    </row>
    <row r="40" spans="1:19" ht="18" customHeight="1">
      <c r="A40" s="75"/>
      <c r="B40" s="198"/>
      <c r="C40" s="208"/>
      <c r="D40" s="736"/>
      <c r="E40" s="737"/>
      <c r="F40" s="738"/>
      <c r="G40" s="200">
        <f t="shared" si="0"/>
        <v>0</v>
      </c>
      <c r="H40" s="1"/>
      <c r="I40" s="1"/>
      <c r="J40" s="207"/>
      <c r="K40" s="207"/>
      <c r="L40" s="203"/>
      <c r="M40" s="203"/>
      <c r="N40" s="203"/>
      <c r="O40" s="204"/>
      <c r="P40" s="158"/>
      <c r="Q40" s="158"/>
      <c r="R40" s="158"/>
      <c r="S40" s="158"/>
    </row>
    <row r="41" spans="1:19" ht="18" customHeight="1">
      <c r="A41" s="75"/>
      <c r="B41" s="198"/>
      <c r="C41" s="208"/>
      <c r="D41" s="739"/>
      <c r="E41" s="737"/>
      <c r="F41" s="738"/>
      <c r="G41" s="200">
        <f t="shared" si="0"/>
        <v>0</v>
      </c>
      <c r="H41" s="1"/>
      <c r="I41" s="1"/>
      <c r="J41" s="207"/>
      <c r="K41" s="207"/>
      <c r="L41" s="203"/>
      <c r="M41" s="203"/>
      <c r="N41" s="203"/>
      <c r="O41" s="204"/>
      <c r="P41" s="158"/>
      <c r="Q41" s="158"/>
      <c r="R41" s="158"/>
      <c r="S41" s="158"/>
    </row>
    <row r="42" spans="1:19" ht="18" customHeight="1">
      <c r="A42" s="75"/>
      <c r="B42" s="198"/>
      <c r="C42" s="208"/>
      <c r="D42" s="736"/>
      <c r="E42" s="737"/>
      <c r="F42" s="738"/>
      <c r="G42" s="200">
        <f t="shared" si="0"/>
        <v>0</v>
      </c>
      <c r="H42" s="1"/>
      <c r="I42" s="1"/>
      <c r="J42" s="207"/>
      <c r="K42" s="207"/>
      <c r="L42" s="203"/>
      <c r="M42" s="203"/>
      <c r="N42" s="203"/>
      <c r="O42" s="204"/>
      <c r="P42" s="158"/>
      <c r="Q42" s="158"/>
      <c r="R42" s="158"/>
      <c r="S42" s="158"/>
    </row>
    <row r="43" spans="1:19" ht="18" customHeight="1">
      <c r="A43" s="75"/>
      <c r="B43" s="198"/>
      <c r="C43" s="208"/>
      <c r="D43" s="209"/>
      <c r="E43" s="210"/>
      <c r="F43" s="211"/>
      <c r="G43" s="200">
        <f t="shared" si="0"/>
        <v>0</v>
      </c>
      <c r="H43" s="1"/>
      <c r="I43" s="1"/>
      <c r="J43" s="207"/>
      <c r="K43" s="207"/>
      <c r="L43" s="203"/>
      <c r="M43" s="203"/>
      <c r="N43" s="203"/>
      <c r="O43" s="204"/>
      <c r="P43" s="158"/>
      <c r="Q43" s="158"/>
      <c r="R43" s="158"/>
      <c r="S43" s="158"/>
    </row>
    <row r="44" spans="1:19" ht="18" customHeight="1">
      <c r="A44" s="75"/>
      <c r="B44" s="198"/>
      <c r="C44" s="53"/>
      <c r="D44" s="69"/>
      <c r="E44" s="205"/>
      <c r="F44" s="211"/>
      <c r="G44" s="200">
        <f t="shared" si="0"/>
        <v>0</v>
      </c>
      <c r="H44" s="1"/>
      <c r="I44" s="1"/>
      <c r="J44" s="207"/>
      <c r="K44" s="207"/>
      <c r="L44" s="203"/>
      <c r="M44" s="203"/>
      <c r="N44" s="203"/>
      <c r="O44" s="204"/>
      <c r="P44" s="158"/>
      <c r="Q44" s="158"/>
      <c r="R44" s="158"/>
      <c r="S44" s="158"/>
    </row>
    <row r="45" spans="1:19" ht="18" customHeight="1">
      <c r="A45" s="75"/>
      <c r="B45" s="198"/>
      <c r="C45" s="53"/>
      <c r="D45" s="69"/>
      <c r="E45" s="205"/>
      <c r="F45" s="211"/>
      <c r="G45" s="200">
        <f t="shared" si="0"/>
        <v>0</v>
      </c>
      <c r="H45" s="1"/>
      <c r="I45" s="1"/>
      <c r="J45" s="207"/>
      <c r="K45" s="207"/>
      <c r="L45" s="203"/>
      <c r="M45" s="203"/>
      <c r="N45" s="203"/>
      <c r="O45" s="204"/>
      <c r="P45" s="158"/>
      <c r="Q45" s="158"/>
      <c r="R45" s="158"/>
      <c r="S45" s="158"/>
    </row>
    <row r="46" spans="1:19" ht="18" customHeight="1">
      <c r="A46" s="75"/>
      <c r="B46" s="198"/>
      <c r="C46" s="53"/>
      <c r="D46" s="69"/>
      <c r="E46" s="205"/>
      <c r="F46" s="211"/>
      <c r="G46" s="200">
        <f t="shared" si="0"/>
        <v>0</v>
      </c>
      <c r="H46" s="1"/>
      <c r="I46" s="1"/>
      <c r="J46" s="207"/>
      <c r="K46" s="207"/>
      <c r="L46" s="203"/>
      <c r="M46" s="203"/>
      <c r="N46" s="203"/>
      <c r="O46" s="204"/>
      <c r="P46" s="158"/>
      <c r="Q46" s="158"/>
      <c r="R46" s="158"/>
      <c r="S46" s="158"/>
    </row>
    <row r="47" spans="1:19" ht="18" customHeight="1">
      <c r="A47" s="75"/>
      <c r="B47" s="198"/>
      <c r="C47" s="53"/>
      <c r="D47" s="69"/>
      <c r="E47" s="205"/>
      <c r="F47" s="211"/>
      <c r="G47" s="200">
        <f t="shared" si="0"/>
        <v>0</v>
      </c>
      <c r="H47" s="1"/>
      <c r="I47" s="1"/>
      <c r="J47" s="207"/>
      <c r="K47" s="207"/>
      <c r="L47" s="203"/>
      <c r="M47" s="203"/>
      <c r="N47" s="203"/>
      <c r="O47" s="204"/>
      <c r="P47" s="158"/>
      <c r="Q47" s="158"/>
      <c r="R47" s="158"/>
      <c r="S47" s="158"/>
    </row>
    <row r="48" spans="1:19" ht="18" customHeight="1">
      <c r="A48" s="75"/>
      <c r="B48" s="198"/>
      <c r="C48" s="53"/>
      <c r="D48" s="69"/>
      <c r="E48" s="205"/>
      <c r="F48" s="211"/>
      <c r="G48" s="200">
        <f t="shared" si="0"/>
        <v>0</v>
      </c>
      <c r="H48" s="1"/>
      <c r="I48" s="1"/>
      <c r="J48" s="207"/>
      <c r="K48" s="207"/>
      <c r="L48" s="203"/>
      <c r="M48" s="203"/>
      <c r="N48" s="203"/>
      <c r="O48" s="204"/>
      <c r="P48" s="158"/>
      <c r="Q48" s="158"/>
      <c r="R48" s="158"/>
      <c r="S48" s="158"/>
    </row>
    <row r="49" spans="1:19" ht="18" customHeight="1">
      <c r="A49" s="75"/>
      <c r="B49" s="198"/>
      <c r="C49" s="8"/>
      <c r="D49" s="69"/>
      <c r="E49" s="205"/>
      <c r="F49" s="211"/>
      <c r="G49" s="200">
        <f t="shared" si="0"/>
        <v>0</v>
      </c>
      <c r="H49" s="1"/>
      <c r="I49" s="1"/>
      <c r="J49" s="207"/>
      <c r="K49" s="207"/>
      <c r="L49" s="203"/>
      <c r="M49" s="203"/>
      <c r="N49" s="203"/>
      <c r="O49" s="204"/>
      <c r="P49" s="158"/>
      <c r="Q49" s="158"/>
      <c r="R49" s="158"/>
      <c r="S49" s="158"/>
    </row>
    <row r="50" spans="1:19" ht="18" customHeight="1">
      <c r="A50" s="75"/>
      <c r="B50" s="198"/>
      <c r="C50" s="8"/>
      <c r="D50" s="69"/>
      <c r="E50" s="205"/>
      <c r="F50" s="211"/>
      <c r="G50" s="200">
        <f t="shared" si="0"/>
        <v>0</v>
      </c>
      <c r="H50" s="1"/>
      <c r="I50" s="1"/>
      <c r="J50" s="207"/>
      <c r="K50" s="207"/>
      <c r="L50" s="203"/>
      <c r="M50" s="203"/>
      <c r="N50" s="203"/>
      <c r="O50" s="204"/>
      <c r="P50" s="158"/>
      <c r="Q50" s="158"/>
      <c r="R50" s="158"/>
      <c r="S50" s="158"/>
    </row>
    <row r="51" spans="1:19" ht="18" customHeight="1">
      <c r="A51" s="75"/>
      <c r="B51" s="198"/>
      <c r="C51" s="8"/>
      <c r="D51" s="69"/>
      <c r="E51" s="205"/>
      <c r="F51" s="211"/>
      <c r="G51" s="200">
        <f t="shared" si="0"/>
        <v>0</v>
      </c>
      <c r="H51" s="1"/>
      <c r="I51" s="1"/>
      <c r="J51" s="207"/>
      <c r="K51" s="207"/>
      <c r="L51" s="203"/>
      <c r="M51" s="203"/>
      <c r="N51" s="203"/>
      <c r="O51" s="204"/>
      <c r="P51" s="158"/>
      <c r="Q51" s="158"/>
      <c r="R51" s="158"/>
      <c r="S51" s="158"/>
    </row>
    <row r="52" spans="1:19" ht="18" customHeight="1">
      <c r="A52" s="75"/>
      <c r="B52" s="198"/>
      <c r="C52" s="8"/>
      <c r="D52" s="69"/>
      <c r="E52" s="205"/>
      <c r="F52" s="211"/>
      <c r="G52" s="200">
        <f t="shared" si="0"/>
        <v>0</v>
      </c>
      <c r="H52" s="1"/>
      <c r="I52" s="1"/>
      <c r="J52" s="207"/>
      <c r="K52" s="207"/>
      <c r="L52" s="203"/>
      <c r="M52" s="203"/>
      <c r="N52" s="203"/>
      <c r="O52" s="204"/>
      <c r="P52" s="158"/>
      <c r="Q52" s="158"/>
      <c r="R52" s="158"/>
      <c r="S52" s="158"/>
    </row>
    <row r="53" spans="1:19" ht="18" customHeight="1">
      <c r="A53" s="75"/>
      <c r="B53" s="198"/>
      <c r="C53" s="8"/>
      <c r="D53" s="69"/>
      <c r="E53" s="205"/>
      <c r="F53" s="211"/>
      <c r="G53" s="200">
        <f t="shared" si="0"/>
        <v>0</v>
      </c>
      <c r="H53" s="1"/>
      <c r="I53" s="1"/>
      <c r="J53" s="207"/>
      <c r="K53" s="207"/>
      <c r="L53" s="203"/>
      <c r="M53" s="203"/>
      <c r="N53" s="203"/>
      <c r="O53" s="204"/>
      <c r="P53" s="158"/>
      <c r="Q53" s="158"/>
      <c r="R53" s="158"/>
      <c r="S53" s="158"/>
    </row>
    <row r="54" spans="1:19" ht="18" customHeight="1">
      <c r="A54" s="75"/>
      <c r="B54" s="198"/>
      <c r="C54" s="208"/>
      <c r="D54" s="209"/>
      <c r="E54" s="205"/>
      <c r="F54" s="211"/>
      <c r="G54" s="200">
        <f t="shared" si="0"/>
        <v>0</v>
      </c>
      <c r="H54" s="1"/>
      <c r="I54" s="1"/>
      <c r="J54" s="207"/>
      <c r="K54" s="207"/>
      <c r="L54" s="203"/>
      <c r="M54" s="203"/>
      <c r="N54" s="203"/>
      <c r="O54" s="204"/>
      <c r="P54" s="158"/>
      <c r="Q54" s="158"/>
      <c r="R54" s="158"/>
      <c r="S54" s="158"/>
    </row>
    <row r="55" spans="1:19" ht="18" customHeight="1">
      <c r="A55" s="75"/>
      <c r="B55" s="198"/>
      <c r="C55" s="208"/>
      <c r="D55" s="209"/>
      <c r="E55" s="205"/>
      <c r="F55" s="211"/>
      <c r="G55" s="200">
        <f t="shared" si="0"/>
        <v>0</v>
      </c>
      <c r="H55" s="1"/>
      <c r="I55" s="1"/>
      <c r="J55" s="207"/>
      <c r="K55" s="207"/>
      <c r="L55" s="203"/>
      <c r="M55" s="203"/>
      <c r="N55" s="203"/>
      <c r="O55" s="204"/>
      <c r="P55" s="158"/>
      <c r="Q55" s="158"/>
      <c r="R55" s="158"/>
      <c r="S55" s="158"/>
    </row>
    <row r="56" spans="1:19" ht="18" customHeight="1">
      <c r="A56" s="75"/>
      <c r="B56" s="198"/>
      <c r="C56" s="208"/>
      <c r="D56" s="209"/>
      <c r="E56" s="205"/>
      <c r="F56" s="211"/>
      <c r="G56" s="200">
        <f t="shared" si="0"/>
        <v>0</v>
      </c>
      <c r="H56" s="1"/>
      <c r="I56" s="1"/>
      <c r="J56" s="207"/>
      <c r="K56" s="207"/>
      <c r="L56" s="203"/>
      <c r="M56" s="203"/>
      <c r="N56" s="203"/>
      <c r="O56" s="204"/>
      <c r="P56" s="158"/>
      <c r="Q56" s="158"/>
      <c r="R56" s="158"/>
      <c r="S56" s="158"/>
    </row>
    <row r="57" spans="1:19" ht="18" customHeight="1">
      <c r="A57" s="75"/>
      <c r="B57" s="198"/>
      <c r="C57" s="208"/>
      <c r="D57" s="209"/>
      <c r="E57" s="68"/>
      <c r="F57" s="199"/>
      <c r="G57" s="200">
        <f t="shared" si="0"/>
        <v>0</v>
      </c>
      <c r="H57" s="1"/>
      <c r="I57" s="1"/>
      <c r="J57" s="207"/>
      <c r="K57" s="207"/>
      <c r="L57" s="203"/>
      <c r="M57" s="203"/>
      <c r="N57" s="203"/>
      <c r="O57" s="204"/>
      <c r="P57" s="158"/>
      <c r="Q57" s="158"/>
      <c r="R57" s="158"/>
      <c r="S57" s="158"/>
    </row>
    <row r="58" spans="1:19" ht="18" customHeight="1">
      <c r="A58" s="75"/>
      <c r="B58" s="198"/>
      <c r="C58" s="53"/>
      <c r="D58" s="69"/>
      <c r="E58" s="205"/>
      <c r="F58" s="211"/>
      <c r="G58" s="200">
        <f t="shared" si="0"/>
        <v>0</v>
      </c>
      <c r="H58" s="1"/>
      <c r="I58" s="1"/>
      <c r="J58" s="207"/>
      <c r="K58" s="207"/>
      <c r="L58" s="203"/>
      <c r="M58" s="203"/>
      <c r="N58" s="203"/>
      <c r="O58" s="204"/>
      <c r="P58" s="158"/>
      <c r="Q58" s="158"/>
      <c r="R58" s="158"/>
      <c r="S58" s="158"/>
    </row>
    <row r="59" spans="1:19" ht="18" customHeight="1">
      <c r="A59" s="75"/>
      <c r="B59" s="198"/>
      <c r="C59" s="8"/>
      <c r="D59" s="209"/>
      <c r="E59" s="68"/>
      <c r="F59" s="199"/>
      <c r="G59" s="200">
        <f t="shared" si="0"/>
        <v>0</v>
      </c>
      <c r="H59" s="1"/>
      <c r="I59" s="1"/>
      <c r="J59" s="207"/>
      <c r="K59" s="207"/>
      <c r="L59" s="203"/>
      <c r="M59" s="203"/>
      <c r="N59" s="203"/>
      <c r="O59" s="204"/>
      <c r="P59" s="158"/>
      <c r="Q59" s="158"/>
      <c r="R59" s="158"/>
      <c r="S59" s="158"/>
    </row>
    <row r="60" spans="1:19" ht="18" customHeight="1">
      <c r="A60" s="75"/>
      <c r="B60" s="198"/>
      <c r="C60" s="8"/>
      <c r="D60" s="209"/>
      <c r="E60" s="68"/>
      <c r="F60" s="199"/>
      <c r="G60" s="200">
        <f t="shared" si="0"/>
        <v>0</v>
      </c>
      <c r="H60" s="1"/>
      <c r="I60" s="1"/>
      <c r="J60" s="207"/>
      <c r="K60" s="207"/>
      <c r="L60" s="203"/>
      <c r="M60" s="203"/>
      <c r="N60" s="203"/>
      <c r="O60" s="204"/>
      <c r="P60" s="158"/>
      <c r="Q60" s="158"/>
      <c r="R60" s="158"/>
      <c r="S60" s="158"/>
    </row>
    <row r="61" spans="1:19" ht="18" customHeight="1">
      <c r="A61" s="75"/>
      <c r="B61" s="198"/>
      <c r="C61" s="8"/>
      <c r="D61" s="209"/>
      <c r="E61" s="68"/>
      <c r="F61" s="199"/>
      <c r="G61" s="200">
        <f t="shared" si="0"/>
        <v>0</v>
      </c>
      <c r="H61" s="1"/>
      <c r="I61" s="1"/>
      <c r="J61" s="207"/>
      <c r="K61" s="207"/>
      <c r="L61" s="203"/>
      <c r="M61" s="203"/>
      <c r="N61" s="203"/>
      <c r="O61" s="204"/>
      <c r="P61" s="158"/>
      <c r="Q61" s="158"/>
      <c r="R61" s="158"/>
      <c r="S61" s="158"/>
    </row>
    <row r="62" spans="1:19" ht="18" customHeight="1">
      <c r="A62" s="75"/>
      <c r="B62" s="198"/>
      <c r="C62" s="8"/>
      <c r="D62" s="8"/>
      <c r="E62" s="68"/>
      <c r="F62" s="199"/>
      <c r="G62" s="200">
        <f t="shared" si="0"/>
        <v>0</v>
      </c>
      <c r="H62" s="1"/>
      <c r="I62" s="1"/>
      <c r="J62" s="207"/>
      <c r="K62" s="207"/>
      <c r="L62" s="203"/>
      <c r="M62" s="203"/>
      <c r="N62" s="203"/>
      <c r="O62" s="204"/>
      <c r="P62" s="158"/>
      <c r="Q62" s="158"/>
      <c r="R62" s="158"/>
      <c r="S62" s="158"/>
    </row>
    <row r="63" spans="1:19" ht="18" customHeight="1">
      <c r="A63" s="75"/>
      <c r="B63" s="198"/>
      <c r="C63" s="8"/>
      <c r="D63" s="8"/>
      <c r="E63" s="68"/>
      <c r="F63" s="199"/>
      <c r="G63" s="200">
        <f t="shared" si="0"/>
        <v>0</v>
      </c>
      <c r="H63" s="1"/>
      <c r="I63" s="1"/>
      <c r="J63" s="207"/>
      <c r="K63" s="207"/>
      <c r="L63" s="203"/>
      <c r="M63" s="203"/>
      <c r="N63" s="203"/>
      <c r="O63" s="204"/>
      <c r="P63" s="158"/>
      <c r="Q63" s="158"/>
      <c r="R63" s="158"/>
      <c r="S63" s="158"/>
    </row>
    <row r="64" spans="1:19" ht="18" customHeight="1">
      <c r="A64" s="75"/>
      <c r="B64" s="198"/>
      <c r="C64" s="8"/>
      <c r="D64" s="8"/>
      <c r="E64" s="68"/>
      <c r="F64" s="199"/>
      <c r="G64" s="200">
        <f t="shared" si="0"/>
        <v>0</v>
      </c>
      <c r="H64" s="1"/>
      <c r="I64" s="1"/>
      <c r="J64" s="207"/>
      <c r="K64" s="207"/>
      <c r="L64" s="203"/>
      <c r="M64" s="203"/>
      <c r="N64" s="203"/>
      <c r="O64" s="204"/>
      <c r="P64" s="158"/>
      <c r="Q64" s="158"/>
      <c r="R64" s="158"/>
      <c r="S64" s="158"/>
    </row>
    <row r="65" spans="1:26" ht="18" customHeight="1">
      <c r="A65" s="75"/>
      <c r="B65" s="198"/>
      <c r="C65" s="8"/>
      <c r="D65" s="8"/>
      <c r="E65" s="68"/>
      <c r="F65" s="199"/>
      <c r="G65" s="200">
        <f t="shared" si="0"/>
        <v>0</v>
      </c>
      <c r="H65" s="1"/>
      <c r="I65" s="1"/>
      <c r="J65" s="207"/>
      <c r="K65" s="207"/>
      <c r="L65" s="203"/>
      <c r="M65" s="203"/>
      <c r="N65" s="203"/>
      <c r="O65" s="204"/>
      <c r="P65" s="158"/>
      <c r="Q65" s="158"/>
      <c r="R65" s="158"/>
      <c r="S65" s="158"/>
    </row>
    <row r="66" spans="1:26" ht="18" customHeight="1">
      <c r="A66" s="75"/>
      <c r="B66" s="198"/>
      <c r="C66" s="8"/>
      <c r="D66" s="8"/>
      <c r="E66" s="68"/>
      <c r="F66" s="199"/>
      <c r="G66" s="200">
        <f t="shared" si="0"/>
        <v>0</v>
      </c>
      <c r="H66" s="1"/>
      <c r="I66" s="1"/>
      <c r="J66" s="747"/>
      <c r="K66" s="747"/>
      <c r="L66" s="748"/>
      <c r="M66" s="748"/>
      <c r="N66" s="748"/>
      <c r="O66" s="749"/>
      <c r="P66" s="158"/>
      <c r="Q66" s="158"/>
      <c r="R66" s="158"/>
      <c r="S66" s="158"/>
    </row>
    <row r="67" spans="1:26" ht="18" customHeight="1">
      <c r="A67" s="75"/>
      <c r="B67" s="198"/>
      <c r="C67" s="8"/>
      <c r="D67" s="8"/>
      <c r="E67" s="68"/>
      <c r="F67" s="199"/>
      <c r="G67" s="200">
        <f t="shared" si="0"/>
        <v>0</v>
      </c>
      <c r="H67" s="1"/>
      <c r="I67" s="1"/>
      <c r="J67" s="750"/>
      <c r="K67" s="750"/>
      <c r="L67" s="751"/>
      <c r="M67" s="751"/>
      <c r="N67" s="751"/>
      <c r="O67" s="752"/>
      <c r="P67" s="158"/>
      <c r="Q67" s="158"/>
      <c r="R67" s="158"/>
      <c r="S67" s="158"/>
    </row>
    <row r="68" spans="1:26" ht="18" customHeight="1">
      <c r="A68" s="6"/>
      <c r="B68" s="11"/>
      <c r="C68" s="6"/>
      <c r="D68" s="6"/>
      <c r="E68" s="6"/>
      <c r="F68" s="6"/>
      <c r="G68" s="6"/>
      <c r="H68" s="1"/>
      <c r="I68" s="1"/>
      <c r="J68" s="754"/>
      <c r="K68" s="754"/>
      <c r="L68" s="755"/>
      <c r="M68" s="755"/>
      <c r="N68" s="755"/>
      <c r="O68" s="756"/>
      <c r="P68" s="158"/>
      <c r="Q68" s="158"/>
      <c r="R68" s="158"/>
      <c r="S68" s="158"/>
    </row>
    <row r="69" spans="1:26" ht="18" customHeight="1" thickBot="1">
      <c r="A69" s="6"/>
      <c r="B69" s="612" t="s">
        <v>182</v>
      </c>
      <c r="C69" s="521"/>
      <c r="D69" s="521"/>
      <c r="E69" s="521"/>
      <c r="F69" s="521"/>
      <c r="G69" s="519"/>
      <c r="H69" s="1"/>
      <c r="I69" s="1"/>
      <c r="J69" s="753"/>
      <c r="K69" s="753"/>
      <c r="L69" s="753"/>
      <c r="M69" s="753"/>
      <c r="N69" s="753"/>
      <c r="O69" s="753"/>
      <c r="P69" s="158"/>
      <c r="Q69" s="158"/>
      <c r="R69" s="158"/>
      <c r="S69" s="158"/>
    </row>
    <row r="70" spans="1:26" ht="18" customHeight="1" thickBot="1">
      <c r="A70" s="6"/>
      <c r="B70" s="746" t="s">
        <v>796</v>
      </c>
      <c r="C70" s="513" t="s">
        <v>797</v>
      </c>
      <c r="D70" s="513" t="s">
        <v>798</v>
      </c>
      <c r="E70" s="513" t="s">
        <v>799</v>
      </c>
      <c r="F70" s="502" t="s">
        <v>806</v>
      </c>
      <c r="G70" s="513" t="s">
        <v>800</v>
      </c>
      <c r="H70" s="1"/>
      <c r="I70" s="1"/>
      <c r="J70" s="195" t="s">
        <v>266</v>
      </c>
      <c r="K70" s="196" t="s">
        <v>267</v>
      </c>
      <c r="L70" s="196" t="s">
        <v>802</v>
      </c>
      <c r="M70" s="196" t="s">
        <v>803</v>
      </c>
      <c r="N70" s="196" t="s">
        <v>804</v>
      </c>
      <c r="O70" s="197" t="s">
        <v>805</v>
      </c>
      <c r="P70" s="158"/>
      <c r="Q70" s="158"/>
      <c r="R70" s="158"/>
      <c r="S70" s="158"/>
    </row>
    <row r="71" spans="1:26" ht="18.75">
      <c r="A71" s="75" t="s">
        <v>136</v>
      </c>
      <c r="B71" s="198" t="s">
        <v>268</v>
      </c>
      <c r="C71" s="8"/>
      <c r="D71" s="8"/>
      <c r="E71" s="68">
        <v>9633.64</v>
      </c>
      <c r="F71" s="199">
        <v>12</v>
      </c>
      <c r="G71" s="200">
        <f t="shared" ref="G71:G134" si="1">E71*F71</f>
        <v>115603.68</v>
      </c>
      <c r="H71" s="6"/>
      <c r="I71" s="6"/>
      <c r="J71" s="757" t="s">
        <v>269</v>
      </c>
      <c r="K71" s="757" t="s">
        <v>795</v>
      </c>
      <c r="L71" s="758"/>
      <c r="M71" s="758"/>
      <c r="N71" s="758">
        <v>525</v>
      </c>
      <c r="O71" s="759"/>
      <c r="P71" s="6"/>
      <c r="Q71" s="6"/>
      <c r="R71" s="6"/>
      <c r="S71" s="6"/>
      <c r="T71" s="6"/>
      <c r="U71" s="6"/>
      <c r="V71" s="6"/>
      <c r="W71" s="6"/>
      <c r="X71" s="6"/>
      <c r="Y71" s="6"/>
      <c r="Z71" s="6"/>
    </row>
    <row r="72" spans="1:26" ht="18" customHeight="1">
      <c r="A72" s="75"/>
      <c r="B72" s="198"/>
      <c r="C72" s="68"/>
      <c r="D72" s="8"/>
      <c r="E72" s="68"/>
      <c r="F72" s="199"/>
      <c r="G72" s="200">
        <f t="shared" si="1"/>
        <v>0</v>
      </c>
      <c r="H72" s="6"/>
      <c r="I72" s="6"/>
      <c r="J72" s="207"/>
      <c r="K72" s="207"/>
      <c r="L72" s="203"/>
      <c r="M72" s="203"/>
      <c r="N72" s="203"/>
      <c r="O72" s="204"/>
      <c r="P72" s="6"/>
      <c r="Q72" s="6"/>
      <c r="R72" s="6"/>
      <c r="S72" s="6"/>
      <c r="T72" s="6"/>
      <c r="U72" s="6"/>
      <c r="V72" s="6"/>
      <c r="W72" s="6"/>
      <c r="X72" s="6"/>
      <c r="Y72" s="6"/>
      <c r="Z72" s="6"/>
    </row>
    <row r="73" spans="1:26" ht="18.75">
      <c r="A73" s="75"/>
      <c r="B73" s="198"/>
      <c r="C73" s="68"/>
      <c r="D73" s="8"/>
      <c r="E73" s="68"/>
      <c r="F73" s="199"/>
      <c r="G73" s="200">
        <f t="shared" si="1"/>
        <v>0</v>
      </c>
      <c r="H73" s="6"/>
      <c r="I73" s="6"/>
      <c r="J73" s="207"/>
      <c r="K73" s="207"/>
      <c r="L73" s="203"/>
      <c r="M73" s="203"/>
      <c r="N73" s="203"/>
      <c r="O73" s="204"/>
      <c r="P73" s="6"/>
      <c r="Q73" s="6"/>
      <c r="R73" s="6"/>
      <c r="S73" s="6"/>
      <c r="T73" s="6"/>
      <c r="U73" s="6"/>
      <c r="V73" s="6"/>
      <c r="W73" s="6"/>
      <c r="X73" s="6"/>
      <c r="Y73" s="6"/>
      <c r="Z73" s="6"/>
    </row>
    <row r="74" spans="1:26" ht="15.75" customHeight="1">
      <c r="A74" s="75"/>
      <c r="B74" s="198"/>
      <c r="C74" s="8"/>
      <c r="D74" s="8"/>
      <c r="E74" s="68"/>
      <c r="F74" s="199"/>
      <c r="G74" s="200">
        <f t="shared" si="1"/>
        <v>0</v>
      </c>
      <c r="H74" s="1"/>
      <c r="I74" s="1"/>
      <c r="J74" s="207"/>
      <c r="K74" s="207"/>
      <c r="L74" s="203"/>
      <c r="M74" s="203"/>
      <c r="N74" s="203"/>
      <c r="O74" s="204"/>
    </row>
    <row r="75" spans="1:26" ht="15.75" customHeight="1">
      <c r="A75" s="75"/>
      <c r="B75" s="198"/>
      <c r="C75" s="8"/>
      <c r="D75" s="8"/>
      <c r="E75" s="68"/>
      <c r="F75" s="199"/>
      <c r="G75" s="200">
        <f t="shared" si="1"/>
        <v>0</v>
      </c>
      <c r="H75" s="1"/>
      <c r="I75" s="1"/>
      <c r="J75" s="207"/>
      <c r="K75" s="207"/>
      <c r="L75" s="203"/>
      <c r="M75" s="203"/>
      <c r="N75" s="203"/>
      <c r="O75" s="204"/>
    </row>
    <row r="76" spans="1:26" ht="15.75" customHeight="1">
      <c r="A76" s="75"/>
      <c r="B76" s="198"/>
      <c r="C76" s="8"/>
      <c r="D76" s="8"/>
      <c r="E76" s="68"/>
      <c r="F76" s="199"/>
      <c r="G76" s="200">
        <f t="shared" si="1"/>
        <v>0</v>
      </c>
      <c r="H76" s="1"/>
      <c r="I76" s="1"/>
      <c r="J76" s="207"/>
      <c r="K76" s="207"/>
      <c r="L76" s="203"/>
      <c r="M76" s="203"/>
      <c r="N76" s="203"/>
      <c r="O76" s="204"/>
    </row>
    <row r="77" spans="1:26" ht="15.75" customHeight="1">
      <c r="A77" s="75"/>
      <c r="B77" s="198"/>
      <c r="C77" s="8"/>
      <c r="D77" s="8"/>
      <c r="E77" s="68"/>
      <c r="F77" s="199"/>
      <c r="G77" s="200">
        <f t="shared" si="1"/>
        <v>0</v>
      </c>
      <c r="H77" s="1"/>
      <c r="I77" s="1"/>
      <c r="J77" s="207"/>
      <c r="K77" s="207"/>
      <c r="L77" s="203"/>
      <c r="M77" s="203"/>
      <c r="N77" s="203"/>
      <c r="O77" s="204"/>
    </row>
    <row r="78" spans="1:26" ht="15.75" customHeight="1">
      <c r="A78" s="75"/>
      <c r="B78" s="198"/>
      <c r="C78" s="8"/>
      <c r="D78" s="8"/>
      <c r="E78" s="68"/>
      <c r="F78" s="199"/>
      <c r="G78" s="200">
        <f t="shared" si="1"/>
        <v>0</v>
      </c>
      <c r="H78" s="1"/>
      <c r="I78" s="1"/>
      <c r="J78" s="207"/>
      <c r="K78" s="207"/>
      <c r="L78" s="203"/>
      <c r="M78" s="203"/>
      <c r="N78" s="203"/>
      <c r="O78" s="204"/>
    </row>
    <row r="79" spans="1:26" ht="15.75" customHeight="1">
      <c r="A79" s="75"/>
      <c r="B79" s="198"/>
      <c r="C79" s="8"/>
      <c r="D79" s="8"/>
      <c r="E79" s="68"/>
      <c r="F79" s="199"/>
      <c r="G79" s="200">
        <f t="shared" si="1"/>
        <v>0</v>
      </c>
      <c r="H79" s="1"/>
      <c r="I79" s="1"/>
      <c r="J79" s="207"/>
      <c r="K79" s="207"/>
      <c r="L79" s="203"/>
      <c r="M79" s="203"/>
      <c r="N79" s="203"/>
      <c r="O79" s="204"/>
    </row>
    <row r="80" spans="1:26" ht="18.75">
      <c r="A80" s="75"/>
      <c r="B80" s="198"/>
      <c r="C80" s="8"/>
      <c r="D80" s="8"/>
      <c r="E80" s="68"/>
      <c r="F80" s="8"/>
      <c r="G80" s="200">
        <f t="shared" si="1"/>
        <v>0</v>
      </c>
      <c r="H80" s="1"/>
      <c r="I80" s="1"/>
      <c r="J80" s="207"/>
      <c r="K80" s="207"/>
      <c r="L80" s="203"/>
      <c r="M80" s="203"/>
      <c r="N80" s="203"/>
      <c r="O80" s="204"/>
    </row>
    <row r="81" spans="1:15" ht="15.75" customHeight="1">
      <c r="A81" s="75"/>
      <c r="B81" s="198"/>
      <c r="C81" s="8"/>
      <c r="D81" s="8"/>
      <c r="E81" s="68"/>
      <c r="F81" s="8"/>
      <c r="G81" s="200">
        <f t="shared" si="1"/>
        <v>0</v>
      </c>
      <c r="H81" s="1"/>
      <c r="I81" s="1"/>
      <c r="J81" s="207"/>
      <c r="K81" s="207"/>
      <c r="L81" s="203"/>
      <c r="M81" s="203"/>
      <c r="N81" s="203"/>
      <c r="O81" s="204"/>
    </row>
    <row r="82" spans="1:15" ht="15.75" customHeight="1">
      <c r="A82" s="75"/>
      <c r="B82" s="198"/>
      <c r="C82" s="8"/>
      <c r="D82" s="8"/>
      <c r="E82" s="68"/>
      <c r="F82" s="8"/>
      <c r="G82" s="200">
        <f t="shared" si="1"/>
        <v>0</v>
      </c>
      <c r="H82" s="1"/>
      <c r="I82" s="1"/>
      <c r="J82" s="207"/>
      <c r="K82" s="207"/>
      <c r="L82" s="203"/>
      <c r="M82" s="203"/>
      <c r="N82" s="203"/>
      <c r="O82" s="204"/>
    </row>
    <row r="83" spans="1:15" ht="15.75" customHeight="1">
      <c r="A83" s="75"/>
      <c r="B83" s="198"/>
      <c r="C83" s="8"/>
      <c r="D83" s="8"/>
      <c r="E83" s="68"/>
      <c r="F83" s="8"/>
      <c r="G83" s="200">
        <f t="shared" si="1"/>
        <v>0</v>
      </c>
      <c r="H83" s="1"/>
      <c r="I83" s="1"/>
      <c r="J83" s="207"/>
      <c r="K83" s="207"/>
      <c r="L83" s="203"/>
      <c r="M83" s="203"/>
      <c r="N83" s="203"/>
      <c r="O83" s="204"/>
    </row>
    <row r="84" spans="1:15" ht="15.75" customHeight="1">
      <c r="A84" s="75"/>
      <c r="B84" s="198"/>
      <c r="C84" s="8"/>
      <c r="D84" s="8"/>
      <c r="E84" s="68"/>
      <c r="F84" s="8"/>
      <c r="G84" s="200">
        <f t="shared" si="1"/>
        <v>0</v>
      </c>
      <c r="H84" s="1"/>
      <c r="I84" s="1"/>
      <c r="J84" s="207"/>
      <c r="K84" s="207"/>
      <c r="L84" s="203"/>
      <c r="M84" s="203"/>
      <c r="N84" s="203"/>
      <c r="O84" s="204"/>
    </row>
    <row r="85" spans="1:15" ht="15.75" customHeight="1">
      <c r="A85" s="75"/>
      <c r="B85" s="198"/>
      <c r="C85" s="8"/>
      <c r="D85" s="8"/>
      <c r="E85" s="68"/>
      <c r="F85" s="8"/>
      <c r="G85" s="200">
        <f t="shared" si="1"/>
        <v>0</v>
      </c>
      <c r="H85" s="1"/>
      <c r="I85" s="1"/>
      <c r="J85" s="207"/>
      <c r="K85" s="207"/>
      <c r="L85" s="203"/>
      <c r="M85" s="203"/>
      <c r="N85" s="203"/>
      <c r="O85" s="204"/>
    </row>
    <row r="86" spans="1:15" ht="15.75" customHeight="1">
      <c r="A86" s="75"/>
      <c r="B86" s="198"/>
      <c r="C86" s="8"/>
      <c r="D86" s="8"/>
      <c r="E86" s="68"/>
      <c r="F86" s="8"/>
      <c r="G86" s="200">
        <f t="shared" si="1"/>
        <v>0</v>
      </c>
      <c r="H86" s="1"/>
      <c r="I86" s="1"/>
      <c r="J86" s="207"/>
      <c r="K86" s="207"/>
      <c r="L86" s="203"/>
      <c r="M86" s="203"/>
      <c r="N86" s="203"/>
      <c r="O86" s="204"/>
    </row>
    <row r="87" spans="1:15" ht="15.75" customHeight="1">
      <c r="A87" s="75"/>
      <c r="B87" s="198"/>
      <c r="C87" s="8"/>
      <c r="D87" s="8"/>
      <c r="E87" s="68"/>
      <c r="F87" s="8"/>
      <c r="G87" s="200">
        <f t="shared" si="1"/>
        <v>0</v>
      </c>
      <c r="H87" s="1"/>
      <c r="I87" s="1"/>
      <c r="J87" s="207"/>
      <c r="K87" s="207"/>
      <c r="L87" s="203"/>
      <c r="M87" s="203"/>
      <c r="N87" s="203"/>
      <c r="O87" s="204"/>
    </row>
    <row r="88" spans="1:15" ht="15.75" customHeight="1">
      <c r="A88" s="75"/>
      <c r="B88" s="198"/>
      <c r="C88" s="8"/>
      <c r="D88" s="8"/>
      <c r="E88" s="68"/>
      <c r="F88" s="8"/>
      <c r="G88" s="200">
        <f t="shared" si="1"/>
        <v>0</v>
      </c>
      <c r="H88" s="1"/>
      <c r="I88" s="1"/>
      <c r="J88" s="207"/>
      <c r="K88" s="207"/>
      <c r="L88" s="203"/>
      <c r="M88" s="203"/>
      <c r="N88" s="203"/>
      <c r="O88" s="204"/>
    </row>
    <row r="89" spans="1:15" ht="15.75" customHeight="1">
      <c r="A89" s="75"/>
      <c r="B89" s="198"/>
      <c r="C89" s="8"/>
      <c r="D89" s="8"/>
      <c r="E89" s="68"/>
      <c r="F89" s="8"/>
      <c r="G89" s="200">
        <f t="shared" si="1"/>
        <v>0</v>
      </c>
      <c r="H89" s="1"/>
      <c r="I89" s="1"/>
      <c r="J89" s="207"/>
      <c r="K89" s="207"/>
      <c r="L89" s="203"/>
      <c r="M89" s="203"/>
      <c r="N89" s="203"/>
      <c r="O89" s="204"/>
    </row>
    <row r="90" spans="1:15" ht="15.75" customHeight="1">
      <c r="A90" s="75"/>
      <c r="B90" s="198"/>
      <c r="C90" s="8"/>
      <c r="D90" s="8"/>
      <c r="E90" s="68"/>
      <c r="F90" s="8"/>
      <c r="G90" s="200">
        <f t="shared" si="1"/>
        <v>0</v>
      </c>
      <c r="H90" s="1"/>
      <c r="I90" s="1"/>
      <c r="J90" s="207"/>
      <c r="K90" s="207"/>
      <c r="L90" s="203"/>
      <c r="M90" s="203"/>
      <c r="N90" s="203"/>
      <c r="O90" s="204"/>
    </row>
    <row r="91" spans="1:15" ht="15.75" customHeight="1">
      <c r="A91" s="75"/>
      <c r="B91" s="198"/>
      <c r="C91" s="8"/>
      <c r="D91" s="8"/>
      <c r="E91" s="68"/>
      <c r="F91" s="8"/>
      <c r="G91" s="200">
        <f t="shared" si="1"/>
        <v>0</v>
      </c>
      <c r="H91" s="1"/>
      <c r="I91" s="1"/>
      <c r="J91" s="207"/>
      <c r="K91" s="207"/>
      <c r="L91" s="203"/>
      <c r="M91" s="203"/>
      <c r="N91" s="203"/>
      <c r="O91" s="204"/>
    </row>
    <row r="92" spans="1:15" ht="15.75" customHeight="1">
      <c r="A92" s="75"/>
      <c r="B92" s="198"/>
      <c r="C92" s="8"/>
      <c r="D92" s="8"/>
      <c r="E92" s="68"/>
      <c r="F92" s="8"/>
      <c r="G92" s="200">
        <f t="shared" si="1"/>
        <v>0</v>
      </c>
      <c r="H92" s="1"/>
      <c r="I92" s="1"/>
      <c r="J92" s="207"/>
      <c r="K92" s="207"/>
      <c r="L92" s="203"/>
      <c r="M92" s="203"/>
      <c r="N92" s="203"/>
      <c r="O92" s="204"/>
    </row>
    <row r="93" spans="1:15" ht="15.75" customHeight="1">
      <c r="A93" s="75"/>
      <c r="B93" s="198"/>
      <c r="C93" s="8"/>
      <c r="D93" s="8"/>
      <c r="E93" s="68"/>
      <c r="F93" s="8"/>
      <c r="G93" s="200">
        <f t="shared" si="1"/>
        <v>0</v>
      </c>
      <c r="H93" s="1"/>
      <c r="I93" s="1"/>
      <c r="J93" s="207"/>
      <c r="K93" s="207"/>
      <c r="L93" s="203"/>
      <c r="M93" s="203"/>
      <c r="N93" s="203"/>
      <c r="O93" s="204"/>
    </row>
    <row r="94" spans="1:15" ht="15.75" customHeight="1">
      <c r="A94" s="75"/>
      <c r="B94" s="198"/>
      <c r="C94" s="8"/>
      <c r="D94" s="8"/>
      <c r="E94" s="68"/>
      <c r="F94" s="8"/>
      <c r="G94" s="200">
        <f t="shared" si="1"/>
        <v>0</v>
      </c>
      <c r="H94" s="1"/>
      <c r="I94" s="1"/>
      <c r="J94" s="207"/>
      <c r="K94" s="207"/>
      <c r="L94" s="203"/>
      <c r="M94" s="203"/>
      <c r="N94" s="203"/>
      <c r="O94" s="204"/>
    </row>
    <row r="95" spans="1:15" ht="15.75" customHeight="1">
      <c r="A95" s="75"/>
      <c r="B95" s="198"/>
      <c r="C95" s="8"/>
      <c r="D95" s="8"/>
      <c r="E95" s="68"/>
      <c r="F95" s="8"/>
      <c r="G95" s="200">
        <f t="shared" si="1"/>
        <v>0</v>
      </c>
      <c r="H95" s="1"/>
      <c r="I95" s="1"/>
      <c r="J95" s="207"/>
      <c r="K95" s="207"/>
      <c r="L95" s="203"/>
      <c r="M95" s="203"/>
      <c r="N95" s="203"/>
      <c r="O95" s="204"/>
    </row>
    <row r="96" spans="1:15" ht="15.75" customHeight="1">
      <c r="A96" s="75"/>
      <c r="B96" s="198"/>
      <c r="C96" s="8"/>
      <c r="D96" s="8"/>
      <c r="E96" s="68"/>
      <c r="F96" s="8"/>
      <c r="G96" s="200">
        <f t="shared" si="1"/>
        <v>0</v>
      </c>
      <c r="H96" s="1"/>
      <c r="I96" s="1"/>
      <c r="J96" s="207"/>
      <c r="K96" s="207"/>
      <c r="L96" s="203"/>
      <c r="M96" s="203"/>
      <c r="N96" s="203"/>
      <c r="O96" s="204"/>
    </row>
    <row r="97" spans="1:15" ht="15.75" customHeight="1">
      <c r="A97" s="75"/>
      <c r="B97" s="198"/>
      <c r="C97" s="8"/>
      <c r="D97" s="8"/>
      <c r="E97" s="68"/>
      <c r="F97" s="8"/>
      <c r="G97" s="200">
        <f t="shared" si="1"/>
        <v>0</v>
      </c>
      <c r="H97" s="1"/>
      <c r="I97" s="1"/>
      <c r="J97" s="207"/>
      <c r="K97" s="207"/>
      <c r="L97" s="203"/>
      <c r="M97" s="203"/>
      <c r="N97" s="203"/>
      <c r="O97" s="204"/>
    </row>
    <row r="98" spans="1:15" ht="15.75" customHeight="1">
      <c r="A98" s="75"/>
      <c r="B98" s="198"/>
      <c r="C98" s="8"/>
      <c r="D98" s="8"/>
      <c r="E98" s="68"/>
      <c r="F98" s="8"/>
      <c r="G98" s="200">
        <f t="shared" si="1"/>
        <v>0</v>
      </c>
      <c r="H98" s="1"/>
      <c r="I98" s="1"/>
      <c r="J98" s="207"/>
      <c r="K98" s="207"/>
      <c r="L98" s="203"/>
      <c r="M98" s="203"/>
      <c r="N98" s="203"/>
      <c r="O98" s="204"/>
    </row>
    <row r="99" spans="1:15" ht="15.75" customHeight="1">
      <c r="A99" s="75"/>
      <c r="B99" s="198"/>
      <c r="C99" s="8"/>
      <c r="D99" s="8"/>
      <c r="E99" s="68"/>
      <c r="F99" s="8"/>
      <c r="G99" s="200">
        <f t="shared" si="1"/>
        <v>0</v>
      </c>
      <c r="H99" s="1"/>
      <c r="I99" s="1"/>
      <c r="J99" s="207"/>
      <c r="K99" s="207"/>
      <c r="L99" s="203"/>
      <c r="M99" s="203"/>
      <c r="N99" s="203"/>
      <c r="O99" s="204"/>
    </row>
    <row r="100" spans="1:15" ht="15.75" customHeight="1">
      <c r="A100" s="75"/>
      <c r="B100" s="198"/>
      <c r="C100" s="8"/>
      <c r="D100" s="8"/>
      <c r="E100" s="68"/>
      <c r="F100" s="8"/>
      <c r="G100" s="200">
        <f t="shared" si="1"/>
        <v>0</v>
      </c>
      <c r="H100" s="1"/>
      <c r="I100" s="1"/>
      <c r="J100" s="207"/>
      <c r="K100" s="207"/>
      <c r="L100" s="203"/>
      <c r="M100" s="203"/>
      <c r="N100" s="203"/>
      <c r="O100" s="204"/>
    </row>
    <row r="101" spans="1:15" ht="15.75" customHeight="1">
      <c r="A101" s="75"/>
      <c r="B101" s="198"/>
      <c r="C101" s="8"/>
      <c r="D101" s="8"/>
      <c r="E101" s="68"/>
      <c r="F101" s="8"/>
      <c r="G101" s="200">
        <f t="shared" si="1"/>
        <v>0</v>
      </c>
      <c r="H101" s="1"/>
      <c r="I101" s="1"/>
      <c r="J101" s="207"/>
      <c r="K101" s="207"/>
      <c r="L101" s="203"/>
      <c r="M101" s="203"/>
      <c r="N101" s="203"/>
      <c r="O101" s="204"/>
    </row>
    <row r="102" spans="1:15" ht="15.75" customHeight="1">
      <c r="A102" s="75"/>
      <c r="B102" s="198"/>
      <c r="C102" s="8"/>
      <c r="D102" s="8"/>
      <c r="E102" s="68"/>
      <c r="F102" s="8"/>
      <c r="G102" s="200">
        <f t="shared" si="1"/>
        <v>0</v>
      </c>
      <c r="H102" s="1"/>
      <c r="I102" s="1"/>
      <c r="J102" s="207"/>
      <c r="K102" s="207"/>
      <c r="L102" s="203"/>
      <c r="M102" s="203"/>
      <c r="N102" s="203"/>
      <c r="O102" s="204"/>
    </row>
    <row r="103" spans="1:15" ht="15.75" customHeight="1">
      <c r="A103" s="75"/>
      <c r="B103" s="198"/>
      <c r="C103" s="8"/>
      <c r="D103" s="8"/>
      <c r="E103" s="68"/>
      <c r="F103" s="8"/>
      <c r="G103" s="200">
        <f t="shared" si="1"/>
        <v>0</v>
      </c>
      <c r="H103" s="1"/>
      <c r="I103" s="1"/>
      <c r="J103" s="207"/>
      <c r="K103" s="207"/>
      <c r="L103" s="203"/>
      <c r="M103" s="203"/>
      <c r="N103" s="203"/>
      <c r="O103" s="204"/>
    </row>
    <row r="104" spans="1:15" ht="15.75" customHeight="1">
      <c r="A104" s="75"/>
      <c r="B104" s="198"/>
      <c r="C104" s="8"/>
      <c r="D104" s="8"/>
      <c r="E104" s="68"/>
      <c r="F104" s="8"/>
      <c r="G104" s="200">
        <f t="shared" si="1"/>
        <v>0</v>
      </c>
      <c r="H104" s="1"/>
      <c r="I104" s="1"/>
      <c r="J104" s="207"/>
      <c r="K104" s="207"/>
      <c r="L104" s="203"/>
      <c r="M104" s="203"/>
      <c r="N104" s="203"/>
      <c r="O104" s="204"/>
    </row>
    <row r="105" spans="1:15" ht="15.75" customHeight="1">
      <c r="A105" s="75"/>
      <c r="B105" s="198"/>
      <c r="C105" s="8"/>
      <c r="D105" s="8"/>
      <c r="E105" s="68"/>
      <c r="F105" s="8"/>
      <c r="G105" s="200">
        <f t="shared" si="1"/>
        <v>0</v>
      </c>
      <c r="H105" s="1"/>
      <c r="I105" s="1"/>
      <c r="J105" s="207"/>
      <c r="K105" s="207"/>
      <c r="L105" s="203"/>
      <c r="M105" s="203"/>
      <c r="N105" s="203"/>
      <c r="O105" s="204"/>
    </row>
    <row r="106" spans="1:15" ht="15.75" customHeight="1">
      <c r="A106" s="75"/>
      <c r="B106" s="198"/>
      <c r="C106" s="8"/>
      <c r="D106" s="8"/>
      <c r="E106" s="68"/>
      <c r="F106" s="8"/>
      <c r="G106" s="200">
        <f t="shared" si="1"/>
        <v>0</v>
      </c>
      <c r="H106" s="1"/>
      <c r="I106" s="1"/>
      <c r="J106" s="207"/>
      <c r="K106" s="207"/>
      <c r="L106" s="203"/>
      <c r="M106" s="203"/>
      <c r="N106" s="203"/>
      <c r="O106" s="204"/>
    </row>
    <row r="107" spans="1:15" ht="15.75" customHeight="1">
      <c r="A107" s="75"/>
      <c r="B107" s="198"/>
      <c r="C107" s="8"/>
      <c r="D107" s="8"/>
      <c r="E107" s="68"/>
      <c r="F107" s="8"/>
      <c r="G107" s="200">
        <f t="shared" si="1"/>
        <v>0</v>
      </c>
      <c r="H107" s="1"/>
      <c r="I107" s="1"/>
      <c r="J107" s="207"/>
      <c r="K107" s="207"/>
      <c r="L107" s="203"/>
      <c r="M107" s="203"/>
      <c r="N107" s="203"/>
      <c r="O107" s="204"/>
    </row>
    <row r="108" spans="1:15" ht="15.75" customHeight="1">
      <c r="A108" s="75"/>
      <c r="B108" s="198"/>
      <c r="C108" s="8"/>
      <c r="D108" s="8"/>
      <c r="E108" s="68"/>
      <c r="F108" s="8"/>
      <c r="G108" s="200">
        <f t="shared" si="1"/>
        <v>0</v>
      </c>
      <c r="H108" s="1"/>
      <c r="I108" s="1"/>
      <c r="J108" s="207"/>
      <c r="K108" s="207"/>
      <c r="L108" s="203"/>
      <c r="M108" s="203"/>
      <c r="N108" s="203"/>
      <c r="O108" s="204"/>
    </row>
    <row r="109" spans="1:15" ht="15.75" customHeight="1">
      <c r="A109" s="75"/>
      <c r="B109" s="198"/>
      <c r="C109" s="8"/>
      <c r="D109" s="8"/>
      <c r="E109" s="68"/>
      <c r="F109" s="8"/>
      <c r="G109" s="200">
        <f t="shared" si="1"/>
        <v>0</v>
      </c>
      <c r="H109" s="1"/>
      <c r="I109" s="1"/>
      <c r="J109" s="207"/>
      <c r="K109" s="207"/>
      <c r="L109" s="203"/>
      <c r="M109" s="203"/>
      <c r="N109" s="203"/>
      <c r="O109" s="204"/>
    </row>
    <row r="110" spans="1:15" ht="15.75" customHeight="1">
      <c r="A110" s="75"/>
      <c r="B110" s="198"/>
      <c r="C110" s="8"/>
      <c r="D110" s="8"/>
      <c r="E110" s="68"/>
      <c r="F110" s="8"/>
      <c r="G110" s="200">
        <f t="shared" si="1"/>
        <v>0</v>
      </c>
      <c r="H110" s="1"/>
      <c r="I110" s="1"/>
      <c r="J110" s="207"/>
      <c r="K110" s="207"/>
      <c r="L110" s="203"/>
      <c r="M110" s="203"/>
      <c r="N110" s="203"/>
      <c r="O110" s="204"/>
    </row>
    <row r="111" spans="1:15" ht="15.75" customHeight="1">
      <c r="A111" s="75"/>
      <c r="B111" s="198"/>
      <c r="C111" s="8"/>
      <c r="D111" s="8"/>
      <c r="E111" s="68"/>
      <c r="F111" s="8"/>
      <c r="G111" s="200">
        <f t="shared" si="1"/>
        <v>0</v>
      </c>
      <c r="H111" s="1"/>
      <c r="I111" s="1"/>
      <c r="J111" s="207"/>
      <c r="K111" s="207"/>
      <c r="L111" s="203"/>
      <c r="M111" s="203"/>
      <c r="N111" s="203"/>
      <c r="O111" s="204"/>
    </row>
    <row r="112" spans="1:15" ht="15.75" customHeight="1">
      <c r="A112" s="75"/>
      <c r="B112" s="198"/>
      <c r="C112" s="8"/>
      <c r="D112" s="8"/>
      <c r="E112" s="68"/>
      <c r="F112" s="8"/>
      <c r="G112" s="200">
        <f t="shared" si="1"/>
        <v>0</v>
      </c>
      <c r="H112" s="1"/>
      <c r="I112" s="1"/>
      <c r="J112" s="207"/>
      <c r="K112" s="207"/>
      <c r="L112" s="203"/>
      <c r="M112" s="203"/>
      <c r="N112" s="203"/>
      <c r="O112" s="204"/>
    </row>
    <row r="113" spans="1:15" ht="15.75" customHeight="1">
      <c r="A113" s="75"/>
      <c r="B113" s="198"/>
      <c r="C113" s="8"/>
      <c r="D113" s="8"/>
      <c r="E113" s="68"/>
      <c r="F113" s="8"/>
      <c r="G113" s="200">
        <f t="shared" si="1"/>
        <v>0</v>
      </c>
      <c r="H113" s="1"/>
      <c r="I113" s="1"/>
      <c r="J113" s="207"/>
      <c r="K113" s="207"/>
      <c r="L113" s="203"/>
      <c r="M113" s="203"/>
      <c r="N113" s="203"/>
      <c r="O113" s="204"/>
    </row>
    <row r="114" spans="1:15" ht="15.75" customHeight="1">
      <c r="A114" s="75"/>
      <c r="B114" s="198"/>
      <c r="C114" s="8"/>
      <c r="D114" s="8"/>
      <c r="E114" s="68"/>
      <c r="F114" s="8"/>
      <c r="G114" s="200">
        <f t="shared" si="1"/>
        <v>0</v>
      </c>
      <c r="H114" s="1"/>
      <c r="I114" s="1"/>
      <c r="J114" s="207"/>
      <c r="K114" s="207"/>
      <c r="L114" s="203"/>
      <c r="M114" s="203"/>
      <c r="N114" s="203"/>
      <c r="O114" s="204"/>
    </row>
    <row r="115" spans="1:15" ht="15.75" customHeight="1">
      <c r="A115" s="75"/>
      <c r="B115" s="198"/>
      <c r="C115" s="8"/>
      <c r="D115" s="8"/>
      <c r="E115" s="68"/>
      <c r="F115" s="8"/>
      <c r="G115" s="200">
        <f t="shared" si="1"/>
        <v>0</v>
      </c>
      <c r="H115" s="1"/>
      <c r="I115" s="1"/>
      <c r="J115" s="207"/>
      <c r="K115" s="207"/>
      <c r="L115" s="203"/>
      <c r="M115" s="203"/>
      <c r="N115" s="203"/>
      <c r="O115" s="204"/>
    </row>
    <row r="116" spans="1:15" ht="15.75" customHeight="1">
      <c r="A116" s="75"/>
      <c r="B116" s="198"/>
      <c r="C116" s="8"/>
      <c r="D116" s="8"/>
      <c r="E116" s="68"/>
      <c r="F116" s="8"/>
      <c r="G116" s="200">
        <f t="shared" si="1"/>
        <v>0</v>
      </c>
      <c r="H116" s="1"/>
      <c r="I116" s="1"/>
      <c r="J116" s="207"/>
      <c r="K116" s="207"/>
      <c r="L116" s="203"/>
      <c r="M116" s="203"/>
      <c r="N116" s="203"/>
      <c r="O116" s="204"/>
    </row>
    <row r="117" spans="1:15" ht="15.75" customHeight="1">
      <c r="A117" s="75"/>
      <c r="B117" s="198"/>
      <c r="C117" s="8"/>
      <c r="D117" s="8"/>
      <c r="E117" s="68"/>
      <c r="F117" s="8"/>
      <c r="G117" s="200">
        <f t="shared" si="1"/>
        <v>0</v>
      </c>
      <c r="H117" s="1"/>
      <c r="I117" s="1"/>
      <c r="J117" s="207"/>
      <c r="K117" s="207"/>
      <c r="L117" s="203"/>
      <c r="M117" s="203"/>
      <c r="N117" s="203"/>
      <c r="O117" s="204"/>
    </row>
    <row r="118" spans="1:15" ht="15.75" customHeight="1">
      <c r="A118" s="75"/>
      <c r="B118" s="198"/>
      <c r="C118" s="8"/>
      <c r="D118" s="8"/>
      <c r="E118" s="68"/>
      <c r="F118" s="8"/>
      <c r="G118" s="200">
        <f t="shared" si="1"/>
        <v>0</v>
      </c>
      <c r="H118" s="1"/>
      <c r="I118" s="1"/>
      <c r="J118" s="207"/>
      <c r="K118" s="207"/>
      <c r="L118" s="203"/>
      <c r="M118" s="203"/>
      <c r="N118" s="203"/>
      <c r="O118" s="204"/>
    </row>
    <row r="119" spans="1:15" ht="15.75" customHeight="1">
      <c r="A119" s="75"/>
      <c r="B119" s="198"/>
      <c r="C119" s="8"/>
      <c r="D119" s="8"/>
      <c r="E119" s="68"/>
      <c r="F119" s="8"/>
      <c r="G119" s="200">
        <f t="shared" si="1"/>
        <v>0</v>
      </c>
      <c r="H119" s="1"/>
      <c r="I119" s="1"/>
      <c r="J119" s="207"/>
      <c r="K119" s="207"/>
      <c r="L119" s="203"/>
      <c r="M119" s="203"/>
      <c r="N119" s="203"/>
      <c r="O119" s="204"/>
    </row>
    <row r="120" spans="1:15" ht="15.75" customHeight="1">
      <c r="A120" s="75"/>
      <c r="B120" s="198"/>
      <c r="C120" s="8"/>
      <c r="D120" s="8"/>
      <c r="E120" s="68"/>
      <c r="F120" s="8"/>
      <c r="G120" s="200">
        <f t="shared" si="1"/>
        <v>0</v>
      </c>
      <c r="H120" s="1"/>
      <c r="I120" s="1"/>
      <c r="J120" s="207"/>
      <c r="K120" s="207"/>
      <c r="L120" s="203"/>
      <c r="M120" s="203"/>
      <c r="N120" s="203"/>
      <c r="O120" s="204"/>
    </row>
    <row r="121" spans="1:15" ht="15.75" customHeight="1">
      <c r="A121" s="75"/>
      <c r="B121" s="198"/>
      <c r="C121" s="8"/>
      <c r="D121" s="8"/>
      <c r="E121" s="68"/>
      <c r="F121" s="8"/>
      <c r="G121" s="200">
        <f t="shared" si="1"/>
        <v>0</v>
      </c>
      <c r="H121" s="1"/>
      <c r="I121" s="1"/>
      <c r="J121" s="207"/>
      <c r="K121" s="207"/>
      <c r="L121" s="203"/>
      <c r="M121" s="203"/>
      <c r="N121" s="203"/>
      <c r="O121" s="204"/>
    </row>
    <row r="122" spans="1:15" ht="15.75" customHeight="1">
      <c r="A122" s="75"/>
      <c r="B122" s="198"/>
      <c r="C122" s="8"/>
      <c r="D122" s="8"/>
      <c r="E122" s="68"/>
      <c r="F122" s="8"/>
      <c r="G122" s="200">
        <f t="shared" si="1"/>
        <v>0</v>
      </c>
      <c r="H122" s="1"/>
      <c r="I122" s="1"/>
      <c r="J122" s="207"/>
      <c r="K122" s="207"/>
      <c r="L122" s="203"/>
      <c r="M122" s="203"/>
      <c r="N122" s="203"/>
      <c r="O122" s="204"/>
    </row>
    <row r="123" spans="1:15" ht="15.75" customHeight="1">
      <c r="A123" s="75"/>
      <c r="B123" s="198"/>
      <c r="C123" s="8"/>
      <c r="D123" s="8"/>
      <c r="E123" s="68"/>
      <c r="F123" s="8"/>
      <c r="G123" s="200">
        <f t="shared" si="1"/>
        <v>0</v>
      </c>
      <c r="H123" s="1"/>
      <c r="I123" s="1"/>
      <c r="J123" s="207"/>
      <c r="K123" s="207"/>
      <c r="L123" s="203"/>
      <c r="M123" s="203"/>
      <c r="N123" s="203"/>
      <c r="O123" s="204"/>
    </row>
    <row r="124" spans="1:15" ht="15.75" customHeight="1">
      <c r="A124" s="75"/>
      <c r="B124" s="198"/>
      <c r="C124" s="8"/>
      <c r="D124" s="8"/>
      <c r="E124" s="68"/>
      <c r="F124" s="8"/>
      <c r="G124" s="200">
        <f t="shared" si="1"/>
        <v>0</v>
      </c>
      <c r="H124" s="1"/>
      <c r="I124" s="1"/>
      <c r="J124" s="207"/>
      <c r="K124" s="207"/>
      <c r="L124" s="203"/>
      <c r="M124" s="203"/>
      <c r="N124" s="203"/>
      <c r="O124" s="204"/>
    </row>
    <row r="125" spans="1:15" ht="15.75" customHeight="1">
      <c r="A125" s="75"/>
      <c r="B125" s="198"/>
      <c r="C125" s="8"/>
      <c r="D125" s="8"/>
      <c r="E125" s="68"/>
      <c r="F125" s="8"/>
      <c r="G125" s="200">
        <f t="shared" si="1"/>
        <v>0</v>
      </c>
      <c r="H125" s="1"/>
      <c r="I125" s="1"/>
      <c r="J125" s="207"/>
      <c r="K125" s="207"/>
      <c r="L125" s="203"/>
      <c r="M125" s="203"/>
      <c r="N125" s="203"/>
      <c r="O125" s="204"/>
    </row>
    <row r="126" spans="1:15" ht="15.75" customHeight="1">
      <c r="A126" s="75"/>
      <c r="B126" s="198"/>
      <c r="C126" s="8"/>
      <c r="D126" s="8"/>
      <c r="E126" s="68"/>
      <c r="F126" s="8"/>
      <c r="G126" s="200">
        <f t="shared" si="1"/>
        <v>0</v>
      </c>
      <c r="H126" s="1"/>
      <c r="I126" s="1"/>
      <c r="J126" s="207"/>
      <c r="K126" s="207"/>
      <c r="L126" s="203"/>
      <c r="M126" s="203"/>
      <c r="N126" s="203"/>
      <c r="O126" s="204"/>
    </row>
    <row r="127" spans="1:15" ht="15.75" customHeight="1">
      <c r="A127" s="75"/>
      <c r="B127" s="198"/>
      <c r="C127" s="68"/>
      <c r="D127" s="212"/>
      <c r="E127" s="68"/>
      <c r="F127" s="68"/>
      <c r="G127" s="200">
        <f t="shared" si="1"/>
        <v>0</v>
      </c>
      <c r="H127" s="1"/>
      <c r="I127" s="1"/>
      <c r="J127" s="207"/>
      <c r="K127" s="207"/>
      <c r="L127" s="203"/>
      <c r="M127" s="203"/>
      <c r="N127" s="203"/>
      <c r="O127" s="204"/>
    </row>
    <row r="128" spans="1:15" ht="15.75" customHeight="1">
      <c r="A128" s="75"/>
      <c r="B128" s="198"/>
      <c r="C128" s="68"/>
      <c r="D128" s="212"/>
      <c r="E128" s="68"/>
      <c r="F128" s="68"/>
      <c r="G128" s="200">
        <f t="shared" si="1"/>
        <v>0</v>
      </c>
      <c r="H128" s="1"/>
      <c r="I128" s="1"/>
      <c r="J128" s="207"/>
      <c r="K128" s="207"/>
      <c r="L128" s="203"/>
      <c r="M128" s="203"/>
      <c r="N128" s="203"/>
      <c r="O128" s="204"/>
    </row>
    <row r="129" spans="1:26" ht="15.75" customHeight="1">
      <c r="A129" s="75"/>
      <c r="B129" s="198"/>
      <c r="C129" s="68"/>
      <c r="D129" s="212"/>
      <c r="E129" s="68"/>
      <c r="F129" s="68"/>
      <c r="G129" s="200">
        <f t="shared" si="1"/>
        <v>0</v>
      </c>
      <c r="H129" s="1"/>
      <c r="I129" s="1"/>
      <c r="J129" s="207"/>
      <c r="K129" s="207"/>
      <c r="L129" s="203"/>
      <c r="M129" s="203"/>
      <c r="N129" s="203"/>
      <c r="O129" s="204"/>
    </row>
    <row r="130" spans="1:26" ht="15.75" customHeight="1">
      <c r="A130" s="75"/>
      <c r="B130" s="198"/>
      <c r="C130" s="68"/>
      <c r="D130" s="212"/>
      <c r="E130" s="68"/>
      <c r="F130" s="68"/>
      <c r="G130" s="200">
        <f t="shared" si="1"/>
        <v>0</v>
      </c>
      <c r="H130" s="1"/>
      <c r="I130" s="1"/>
      <c r="J130" s="207"/>
      <c r="K130" s="207"/>
      <c r="L130" s="203"/>
      <c r="M130" s="203"/>
      <c r="N130" s="203"/>
      <c r="O130" s="204"/>
    </row>
    <row r="131" spans="1:26" ht="15.75" customHeight="1">
      <c r="A131" s="75"/>
      <c r="B131" s="198"/>
      <c r="C131" s="68"/>
      <c r="D131" s="212"/>
      <c r="E131" s="68"/>
      <c r="F131" s="68"/>
      <c r="G131" s="200">
        <f t="shared" si="1"/>
        <v>0</v>
      </c>
      <c r="H131" s="1"/>
      <c r="I131" s="1"/>
      <c r="J131" s="207"/>
      <c r="K131" s="207"/>
      <c r="L131" s="203"/>
      <c r="M131" s="203"/>
      <c r="N131" s="203"/>
      <c r="O131" s="204"/>
    </row>
    <row r="132" spans="1:26" ht="15.75" customHeight="1">
      <c r="A132" s="75"/>
      <c r="B132" s="198"/>
      <c r="C132" s="68"/>
      <c r="D132" s="212"/>
      <c r="E132" s="68"/>
      <c r="F132" s="68"/>
      <c r="G132" s="200">
        <f t="shared" si="1"/>
        <v>0</v>
      </c>
      <c r="H132" s="1"/>
      <c r="I132" s="1"/>
      <c r="J132" s="207"/>
      <c r="K132" s="207"/>
      <c r="L132" s="203"/>
      <c r="M132" s="203"/>
      <c r="N132" s="203"/>
      <c r="O132" s="204"/>
    </row>
    <row r="133" spans="1:26" ht="15.75" customHeight="1">
      <c r="A133" s="75"/>
      <c r="B133" s="198"/>
      <c r="C133" s="68"/>
      <c r="D133" s="212"/>
      <c r="E133" s="68"/>
      <c r="F133" s="68"/>
      <c r="G133" s="200">
        <f t="shared" si="1"/>
        <v>0</v>
      </c>
      <c r="H133" s="1"/>
      <c r="I133" s="1"/>
      <c r="J133" s="747"/>
      <c r="K133" s="747"/>
      <c r="L133" s="748"/>
      <c r="M133" s="748"/>
      <c r="N133" s="748"/>
      <c r="O133" s="749"/>
    </row>
    <row r="134" spans="1:26" ht="15.75" customHeight="1">
      <c r="A134" s="75"/>
      <c r="B134" s="198"/>
      <c r="C134" s="68"/>
      <c r="D134" s="8"/>
      <c r="E134" s="68"/>
      <c r="F134" s="68"/>
      <c r="G134" s="200">
        <f t="shared" si="1"/>
        <v>0</v>
      </c>
      <c r="H134" s="1"/>
      <c r="I134" s="1"/>
      <c r="J134" s="750"/>
      <c r="K134" s="750"/>
      <c r="L134" s="751"/>
      <c r="M134" s="751"/>
      <c r="N134" s="751"/>
      <c r="O134" s="752"/>
    </row>
    <row r="135" spans="1:26" ht="15.75" customHeight="1">
      <c r="A135" s="6"/>
      <c r="B135" s="11"/>
      <c r="C135" s="6"/>
      <c r="D135" s="6"/>
      <c r="E135" s="6"/>
      <c r="F135" s="6"/>
      <c r="G135" s="6"/>
      <c r="H135" s="175"/>
      <c r="I135" s="175"/>
    </row>
    <row r="136" spans="1:26" ht="15.75" customHeight="1" thickBot="1">
      <c r="A136" s="6"/>
      <c r="B136" s="612" t="s">
        <v>185</v>
      </c>
      <c r="C136" s="521"/>
      <c r="D136" s="521"/>
      <c r="E136" s="521"/>
      <c r="F136" s="521"/>
      <c r="G136" s="519"/>
      <c r="H136" s="1"/>
      <c r="I136" s="1"/>
    </row>
    <row r="137" spans="1:26" ht="15.75" customHeight="1" thickBot="1">
      <c r="A137" s="6"/>
      <c r="B137" s="746" t="s">
        <v>796</v>
      </c>
      <c r="C137" s="513" t="s">
        <v>797</v>
      </c>
      <c r="D137" s="513" t="s">
        <v>798</v>
      </c>
      <c r="E137" s="513" t="s">
        <v>799</v>
      </c>
      <c r="F137" s="502" t="s">
        <v>806</v>
      </c>
      <c r="G137" s="513" t="s">
        <v>800</v>
      </c>
      <c r="H137" s="1"/>
      <c r="I137" s="1"/>
      <c r="J137" s="195" t="s">
        <v>266</v>
      </c>
      <c r="K137" s="196" t="s">
        <v>267</v>
      </c>
      <c r="L137" s="196" t="s">
        <v>802</v>
      </c>
      <c r="M137" s="196" t="s">
        <v>803</v>
      </c>
      <c r="N137" s="196" t="s">
        <v>804</v>
      </c>
      <c r="O137" s="197" t="s">
        <v>805</v>
      </c>
    </row>
    <row r="138" spans="1:26" ht="18" customHeight="1">
      <c r="A138" s="75" t="s">
        <v>136</v>
      </c>
      <c r="B138" s="138" t="s">
        <v>186</v>
      </c>
      <c r="C138" s="8"/>
      <c r="D138" s="8"/>
      <c r="E138" s="68"/>
      <c r="F138" s="199"/>
      <c r="G138" s="200">
        <v>50</v>
      </c>
      <c r="H138" s="6"/>
      <c r="I138" s="6"/>
      <c r="J138" s="207"/>
      <c r="K138" s="207"/>
      <c r="L138" s="203"/>
      <c r="M138" s="203"/>
      <c r="N138" s="203"/>
      <c r="O138" s="204"/>
      <c r="P138" s="6"/>
      <c r="Q138" s="6"/>
      <c r="R138" s="6"/>
      <c r="S138" s="6"/>
      <c r="T138" s="6"/>
      <c r="U138" s="6"/>
      <c r="V138" s="6"/>
      <c r="W138" s="6"/>
      <c r="X138" s="6"/>
      <c r="Y138" s="6"/>
      <c r="Z138" s="6"/>
    </row>
    <row r="139" spans="1:26" ht="18" customHeight="1">
      <c r="A139" s="75"/>
      <c r="B139" s="138"/>
      <c r="C139" s="8"/>
      <c r="D139" s="8"/>
      <c r="E139" s="68"/>
      <c r="F139" s="199"/>
      <c r="G139" s="200"/>
      <c r="H139" s="6"/>
      <c r="I139" s="6"/>
      <c r="J139" s="207"/>
      <c r="K139" s="207"/>
      <c r="L139" s="203"/>
      <c r="M139" s="203"/>
      <c r="N139" s="203"/>
      <c r="O139" s="204"/>
      <c r="P139" s="6"/>
      <c r="Q139" s="6"/>
      <c r="R139" s="6"/>
      <c r="S139" s="6"/>
      <c r="T139" s="6"/>
      <c r="U139" s="6"/>
      <c r="V139" s="6"/>
      <c r="W139" s="6"/>
      <c r="X139" s="6"/>
      <c r="Y139" s="6"/>
      <c r="Z139" s="6"/>
    </row>
    <row r="140" spans="1:26" ht="17.100000000000001" customHeight="1">
      <c r="A140" s="75"/>
      <c r="B140" s="138"/>
      <c r="C140" s="8"/>
      <c r="D140" s="8"/>
      <c r="E140" s="68"/>
      <c r="F140" s="199"/>
      <c r="G140" s="200"/>
      <c r="H140" s="6"/>
      <c r="I140" s="6"/>
      <c r="J140" s="207"/>
      <c r="K140" s="207"/>
      <c r="L140" s="203"/>
      <c r="M140" s="203"/>
      <c r="N140" s="203"/>
      <c r="O140" s="204"/>
      <c r="P140" s="6"/>
      <c r="Q140" s="6"/>
      <c r="R140" s="6"/>
      <c r="S140" s="6"/>
      <c r="T140" s="6"/>
      <c r="U140" s="6"/>
      <c r="V140" s="6"/>
      <c r="W140" s="6"/>
      <c r="X140" s="6"/>
      <c r="Y140" s="6"/>
      <c r="Z140" s="6"/>
    </row>
    <row r="141" spans="1:26" ht="15.75" customHeight="1">
      <c r="A141" s="75"/>
      <c r="B141" s="138"/>
      <c r="C141" s="8"/>
      <c r="D141" s="8"/>
      <c r="E141" s="68"/>
      <c r="F141" s="199"/>
      <c r="G141" s="200"/>
      <c r="H141" s="1"/>
      <c r="I141" s="1"/>
      <c r="J141" s="207"/>
      <c r="K141" s="207"/>
      <c r="L141" s="203"/>
      <c r="M141" s="203"/>
      <c r="N141" s="203"/>
      <c r="O141" s="204"/>
    </row>
    <row r="142" spans="1:26" ht="15.75" customHeight="1">
      <c r="A142" s="75"/>
      <c r="B142" s="138"/>
      <c r="C142" s="8"/>
      <c r="D142" s="8"/>
      <c r="E142" s="68"/>
      <c r="F142" s="199"/>
      <c r="G142" s="200"/>
      <c r="H142" s="1"/>
      <c r="I142" s="1"/>
      <c r="J142" s="207"/>
      <c r="K142" s="207"/>
      <c r="L142" s="203"/>
      <c r="M142" s="203"/>
      <c r="N142" s="203"/>
      <c r="O142" s="204"/>
    </row>
    <row r="143" spans="1:26" ht="15.75" customHeight="1">
      <c r="A143" s="75"/>
      <c r="B143" s="138"/>
      <c r="C143" s="8"/>
      <c r="D143" s="8"/>
      <c r="E143" s="68"/>
      <c r="F143" s="199"/>
      <c r="G143" s="200"/>
      <c r="H143" s="175"/>
      <c r="I143" s="175"/>
      <c r="J143" s="207"/>
      <c r="K143" s="207"/>
      <c r="L143" s="203"/>
      <c r="M143" s="203"/>
      <c r="N143" s="203"/>
      <c r="O143" s="204"/>
    </row>
    <row r="144" spans="1:26" ht="15.75" customHeight="1">
      <c r="A144" s="75"/>
      <c r="B144" s="138"/>
      <c r="C144" s="8"/>
      <c r="D144" s="8"/>
      <c r="E144" s="68"/>
      <c r="F144" s="199"/>
      <c r="G144" s="200"/>
      <c r="H144" s="1"/>
      <c r="I144" s="1"/>
      <c r="J144" s="207"/>
      <c r="K144" s="207"/>
      <c r="L144" s="203"/>
      <c r="M144" s="203"/>
      <c r="N144" s="203"/>
      <c r="O144" s="204"/>
    </row>
    <row r="145" spans="1:15" ht="15.75" customHeight="1">
      <c r="A145" s="75"/>
      <c r="B145" s="138"/>
      <c r="C145" s="8"/>
      <c r="D145" s="8"/>
      <c r="E145" s="68"/>
      <c r="F145" s="199"/>
      <c r="G145" s="200"/>
      <c r="H145" s="1"/>
      <c r="I145" s="1"/>
      <c r="J145" s="207"/>
      <c r="K145" s="207"/>
      <c r="L145" s="203"/>
      <c r="M145" s="203"/>
      <c r="N145" s="203"/>
      <c r="O145" s="204"/>
    </row>
    <row r="146" spans="1:15" ht="15.75" customHeight="1">
      <c r="A146" s="75"/>
      <c r="B146" s="138"/>
      <c r="C146" s="8"/>
      <c r="D146" s="8"/>
      <c r="E146" s="68"/>
      <c r="F146" s="199"/>
      <c r="G146" s="200"/>
      <c r="H146" s="1"/>
      <c r="I146" s="1"/>
      <c r="J146" s="207"/>
      <c r="K146" s="207"/>
      <c r="L146" s="203"/>
      <c r="M146" s="203"/>
      <c r="N146" s="203"/>
      <c r="O146" s="204"/>
    </row>
    <row r="147" spans="1:15" ht="15.75" customHeight="1">
      <c r="A147" s="75"/>
      <c r="B147" s="138"/>
      <c r="C147" s="8"/>
      <c r="D147" s="8"/>
      <c r="E147" s="68"/>
      <c r="F147" s="199"/>
      <c r="G147" s="200"/>
      <c r="H147" s="1"/>
      <c r="I147" s="1"/>
      <c r="J147" s="207"/>
      <c r="K147" s="207"/>
      <c r="L147" s="203"/>
      <c r="M147" s="203"/>
      <c r="N147" s="203"/>
      <c r="O147" s="204"/>
    </row>
    <row r="148" spans="1:15" ht="15.75" customHeight="1">
      <c r="A148" s="75"/>
      <c r="B148" s="138"/>
      <c r="C148" s="8"/>
      <c r="D148" s="8"/>
      <c r="E148" s="68"/>
      <c r="F148" s="199"/>
      <c r="G148" s="200"/>
      <c r="H148" s="1"/>
      <c r="I148" s="1"/>
      <c r="J148" s="207"/>
      <c r="K148" s="207"/>
      <c r="L148" s="203"/>
      <c r="M148" s="203"/>
      <c r="N148" s="203"/>
      <c r="O148" s="204"/>
    </row>
    <row r="149" spans="1:15" ht="15.75" customHeight="1">
      <c r="A149" s="75"/>
      <c r="B149" s="138"/>
      <c r="C149" s="8"/>
      <c r="D149" s="8"/>
      <c r="E149" s="68"/>
      <c r="F149" s="199"/>
      <c r="G149" s="200"/>
      <c r="H149" s="1"/>
      <c r="I149" s="1"/>
      <c r="J149" s="207"/>
      <c r="K149" s="207"/>
      <c r="L149" s="203"/>
      <c r="M149" s="203"/>
      <c r="N149" s="203"/>
      <c r="O149" s="204"/>
    </row>
    <row r="150" spans="1:15" ht="15.75" customHeight="1">
      <c r="A150" s="75"/>
      <c r="B150" s="138"/>
      <c r="C150" s="8"/>
      <c r="D150" s="8"/>
      <c r="E150" s="68"/>
      <c r="F150" s="199"/>
      <c r="G150" s="200"/>
      <c r="H150" s="1"/>
      <c r="I150" s="1"/>
      <c r="J150" s="207"/>
      <c r="K150" s="207"/>
      <c r="L150" s="203"/>
      <c r="M150" s="203"/>
      <c r="N150" s="203"/>
      <c r="O150" s="204"/>
    </row>
    <row r="151" spans="1:15" ht="15.75" customHeight="1">
      <c r="A151" s="75"/>
      <c r="B151" s="138"/>
      <c r="C151" s="8"/>
      <c r="D151" s="68"/>
      <c r="E151" s="68"/>
      <c r="F151" s="199"/>
      <c r="G151" s="200"/>
      <c r="H151" s="1"/>
      <c r="I151" s="1"/>
      <c r="J151" s="207"/>
      <c r="K151" s="207"/>
      <c r="L151" s="203"/>
      <c r="M151" s="203"/>
      <c r="N151" s="203"/>
      <c r="O151" s="204"/>
    </row>
    <row r="152" spans="1:15" ht="15.75" customHeight="1">
      <c r="A152" s="75"/>
      <c r="B152" s="138"/>
      <c r="C152" s="8"/>
      <c r="D152" s="68"/>
      <c r="E152" s="68"/>
      <c r="F152" s="199"/>
      <c r="G152" s="200"/>
      <c r="H152" s="1"/>
      <c r="I152" s="1"/>
      <c r="J152" s="207"/>
      <c r="K152" s="207"/>
      <c r="L152" s="203"/>
      <c r="M152" s="203"/>
      <c r="N152" s="203"/>
      <c r="O152" s="204"/>
    </row>
    <row r="153" spans="1:15" ht="15.75" customHeight="1">
      <c r="A153" s="75"/>
      <c r="B153" s="138"/>
      <c r="C153" s="8"/>
      <c r="D153" s="68"/>
      <c r="E153" s="68"/>
      <c r="F153" s="199"/>
      <c r="G153" s="200"/>
      <c r="H153" s="1"/>
      <c r="I153" s="1"/>
      <c r="J153" s="207"/>
      <c r="K153" s="207"/>
      <c r="L153" s="203"/>
      <c r="M153" s="203"/>
      <c r="N153" s="203"/>
      <c r="O153" s="204"/>
    </row>
    <row r="154" spans="1:15" ht="15.75" customHeight="1">
      <c r="A154" s="75"/>
      <c r="B154" s="138"/>
      <c r="C154" s="8"/>
      <c r="D154" s="68"/>
      <c r="E154" s="68"/>
      <c r="F154" s="199"/>
      <c r="G154" s="200"/>
      <c r="H154" s="1"/>
      <c r="I154" s="1"/>
      <c r="J154" s="207"/>
      <c r="K154" s="207"/>
      <c r="L154" s="203"/>
      <c r="M154" s="203"/>
      <c r="N154" s="203"/>
      <c r="O154" s="204"/>
    </row>
    <row r="155" spans="1:15" ht="15.75" customHeight="1">
      <c r="A155" s="75"/>
      <c r="B155" s="138"/>
      <c r="C155" s="8"/>
      <c r="D155" s="68"/>
      <c r="E155" s="68"/>
      <c r="F155" s="199"/>
      <c r="G155" s="200"/>
      <c r="H155" s="1"/>
      <c r="I155" s="1"/>
      <c r="J155" s="207"/>
      <c r="K155" s="207"/>
      <c r="L155" s="203"/>
      <c r="M155" s="203"/>
      <c r="N155" s="203"/>
      <c r="O155" s="204"/>
    </row>
    <row r="156" spans="1:15" ht="15.75" customHeight="1">
      <c r="A156" s="75"/>
      <c r="B156" s="138"/>
      <c r="C156" s="8"/>
      <c r="D156" s="68"/>
      <c r="E156" s="68"/>
      <c r="F156" s="199"/>
      <c r="G156" s="200"/>
      <c r="H156" s="1"/>
      <c r="I156" s="1"/>
      <c r="J156" s="207"/>
      <c r="K156" s="207"/>
      <c r="L156" s="203"/>
      <c r="M156" s="203"/>
      <c r="N156" s="203"/>
      <c r="O156" s="204"/>
    </row>
    <row r="157" spans="1:15" ht="15.75" customHeight="1">
      <c r="A157" s="75"/>
      <c r="B157" s="138"/>
      <c r="C157" s="8"/>
      <c r="D157" s="68"/>
      <c r="E157" s="68"/>
      <c r="F157" s="199"/>
      <c r="G157" s="200"/>
      <c r="H157" s="1"/>
      <c r="I157" s="1"/>
      <c r="J157" s="207"/>
      <c r="K157" s="207"/>
      <c r="L157" s="203"/>
      <c r="M157" s="203"/>
      <c r="N157" s="203"/>
      <c r="O157" s="204"/>
    </row>
    <row r="158" spans="1:15" ht="15.75" customHeight="1">
      <c r="A158" s="75"/>
      <c r="B158" s="138"/>
      <c r="C158" s="8"/>
      <c r="D158" s="68"/>
      <c r="E158" s="68"/>
      <c r="F158" s="199"/>
      <c r="G158" s="200"/>
      <c r="H158" s="1"/>
      <c r="I158" s="1"/>
      <c r="J158" s="207"/>
      <c r="K158" s="207"/>
      <c r="L158" s="203"/>
      <c r="M158" s="203"/>
      <c r="N158" s="203"/>
      <c r="O158" s="204"/>
    </row>
    <row r="159" spans="1:15" ht="15.75" customHeight="1">
      <c r="A159" s="1"/>
      <c r="B159" s="1"/>
      <c r="C159" s="1"/>
      <c r="D159" s="175"/>
      <c r="E159" s="4"/>
      <c r="F159" s="213"/>
      <c r="G159" s="4"/>
      <c r="H159" s="1"/>
      <c r="I159" s="1"/>
      <c r="J159" s="1"/>
      <c r="K159" s="4"/>
      <c r="L159" s="1"/>
      <c r="M159" s="1"/>
      <c r="N159" s="1"/>
    </row>
    <row r="160" spans="1:15" ht="15.75" customHeight="1">
      <c r="A160" s="1"/>
      <c r="B160" s="1"/>
      <c r="C160" s="1"/>
      <c r="D160" s="613" t="s">
        <v>272</v>
      </c>
      <c r="E160" s="516"/>
      <c r="F160" s="517"/>
      <c r="G160" s="214">
        <f>SUM(G16:G158)</f>
        <v>117517.68</v>
      </c>
      <c r="H160" s="1"/>
      <c r="I160" s="1"/>
      <c r="J160" s="1"/>
      <c r="K160" s="4"/>
      <c r="L160" s="1"/>
      <c r="M160" s="1"/>
      <c r="N160" s="1"/>
    </row>
    <row r="161" spans="1:26" ht="15.75" customHeight="1">
      <c r="A161" s="1"/>
      <c r="B161" s="1"/>
      <c r="C161" s="1"/>
      <c r="D161" s="1"/>
      <c r="E161" s="1"/>
      <c r="F161" s="1"/>
      <c r="G161" s="1"/>
      <c r="H161" s="1"/>
      <c r="I161" s="1"/>
      <c r="J161" s="1"/>
      <c r="K161" s="4"/>
      <c r="L161" s="1"/>
      <c r="M161" s="1"/>
      <c r="N161" s="1"/>
    </row>
    <row r="162" spans="1:26" ht="15.75" customHeight="1">
      <c r="A162" s="6"/>
      <c r="B162" s="6"/>
      <c r="C162" s="6"/>
      <c r="D162" s="6"/>
      <c r="E162" s="6"/>
      <c r="F162" s="6"/>
      <c r="G162" s="6"/>
      <c r="H162" s="1"/>
      <c r="I162" s="1"/>
      <c r="J162" s="1"/>
      <c r="K162" s="4"/>
      <c r="L162" s="1"/>
      <c r="M162" s="1"/>
      <c r="N162" s="1"/>
    </row>
    <row r="163" spans="1:26" ht="15.75" customHeight="1">
      <c r="A163" s="560" t="s">
        <v>273</v>
      </c>
      <c r="B163" s="516"/>
      <c r="C163" s="516"/>
      <c r="D163" s="516"/>
      <c r="E163" s="516"/>
      <c r="F163" s="516"/>
      <c r="G163" s="517"/>
      <c r="H163" s="1"/>
      <c r="I163" s="1"/>
      <c r="J163" s="1"/>
      <c r="K163" s="4"/>
      <c r="L163" s="1"/>
      <c r="M163" s="1"/>
      <c r="N163" s="1"/>
    </row>
    <row r="164" spans="1:26" ht="15.75" customHeight="1">
      <c r="B164" s="1"/>
      <c r="C164" s="1"/>
      <c r="D164" s="1"/>
      <c r="E164" s="1"/>
      <c r="F164" s="1"/>
      <c r="H164" s="1"/>
      <c r="I164" s="1"/>
      <c r="J164" s="1"/>
      <c r="K164" s="4"/>
      <c r="L164" s="1"/>
      <c r="M164" s="1"/>
      <c r="N164" s="1"/>
    </row>
    <row r="165" spans="1:26" ht="15.75" customHeight="1">
      <c r="A165" s="1"/>
      <c r="B165" s="1"/>
      <c r="C165" s="1"/>
      <c r="D165" s="6"/>
      <c r="E165" s="6"/>
      <c r="F165" s="213"/>
      <c r="G165" s="215"/>
      <c r="H165" s="6"/>
      <c r="I165" s="6"/>
      <c r="J165" s="6"/>
      <c r="K165" s="6"/>
      <c r="L165" s="6"/>
      <c r="M165" s="6"/>
      <c r="N165" s="6"/>
      <c r="O165" s="6"/>
      <c r="P165" s="6"/>
      <c r="Q165" s="6"/>
      <c r="R165" s="6"/>
      <c r="S165" s="6"/>
      <c r="T165" s="6"/>
      <c r="U165" s="6"/>
      <c r="V165" s="6"/>
      <c r="W165" s="6"/>
      <c r="X165" s="6"/>
      <c r="Y165" s="6"/>
      <c r="Z165" s="6"/>
    </row>
    <row r="166" spans="1:26" ht="15.75" customHeight="1">
      <c r="A166" s="1"/>
      <c r="B166" s="1"/>
      <c r="C166" s="1"/>
      <c r="D166" s="1"/>
      <c r="E166" s="1"/>
      <c r="F166" s="1"/>
      <c r="G166" s="1"/>
      <c r="H166" s="1"/>
      <c r="I166" s="1"/>
      <c r="J166" s="1"/>
    </row>
    <row r="167" spans="1:26" ht="13.5" customHeight="1">
      <c r="A167" s="1"/>
      <c r="B167" s="1"/>
      <c r="C167" s="1"/>
      <c r="D167" s="1"/>
      <c r="E167" s="216" t="s">
        <v>139</v>
      </c>
      <c r="F167" s="79" t="s">
        <v>148</v>
      </c>
      <c r="G167" s="217" t="s">
        <v>274</v>
      </c>
      <c r="H167" s="78" t="s">
        <v>237</v>
      </c>
      <c r="I167" s="218" t="s">
        <v>237</v>
      </c>
      <c r="J167" s="219" t="s">
        <v>139</v>
      </c>
      <c r="K167" s="220" t="s">
        <v>148</v>
      </c>
      <c r="L167" s="221" t="s">
        <v>274</v>
      </c>
      <c r="M167" s="1"/>
    </row>
    <row r="168" spans="1:26" ht="15.75" customHeight="1">
      <c r="A168" s="1"/>
      <c r="B168" s="1"/>
      <c r="C168" s="1"/>
      <c r="D168" s="222" t="s">
        <v>186</v>
      </c>
      <c r="E168" s="223">
        <f>SUMIFS(G16:G67,B16:B67, "Taxi")</f>
        <v>0</v>
      </c>
      <c r="F168" s="223">
        <f>SUMIFS(G71:G134,B71:B134, "Taxi")</f>
        <v>0</v>
      </c>
      <c r="G168" s="224">
        <f>SUMIFS(G138:G158,B138:B158, "Taxi")</f>
        <v>50</v>
      </c>
      <c r="H168" s="225">
        <f t="shared" ref="H168:H180" si="2">SUM(E168:G168)</f>
        <v>50</v>
      </c>
      <c r="I168" s="617">
        <f>SUM(J168:L169)</f>
        <v>50</v>
      </c>
      <c r="J168" s="614">
        <f t="shared" ref="J168:L168" si="3">SUM(E168:E169)</f>
        <v>0</v>
      </c>
      <c r="K168" s="614">
        <f t="shared" si="3"/>
        <v>0</v>
      </c>
      <c r="L168" s="614">
        <f t="shared" si="3"/>
        <v>50</v>
      </c>
      <c r="M168" s="616" t="s">
        <v>275</v>
      </c>
      <c r="N168" s="1"/>
    </row>
    <row r="169" spans="1:26" ht="15.75" customHeight="1">
      <c r="A169" s="1"/>
      <c r="B169" s="1"/>
      <c r="C169" s="1"/>
      <c r="D169" s="222" t="s">
        <v>187</v>
      </c>
      <c r="E169" s="226">
        <f>SUMIFS(G16:G67,B16:B67, "Bus")</f>
        <v>0</v>
      </c>
      <c r="F169" s="226">
        <f>SUMIFS(G71:G134,B71:B134, "Bus")</f>
        <v>0</v>
      </c>
      <c r="G169" s="227">
        <f>SUMIFS(G138:G158,B138:B158, "Bus")</f>
        <v>0</v>
      </c>
      <c r="H169" s="228">
        <f t="shared" si="2"/>
        <v>0</v>
      </c>
      <c r="I169" s="576"/>
      <c r="J169" s="576"/>
      <c r="K169" s="576"/>
      <c r="L169" s="576"/>
      <c r="M169" s="576"/>
      <c r="N169" s="1"/>
    </row>
    <row r="170" spans="1:26" ht="15.75" customHeight="1">
      <c r="A170" s="1"/>
      <c r="B170" s="1"/>
      <c r="C170" s="1"/>
      <c r="D170" s="222" t="s">
        <v>268</v>
      </c>
      <c r="E170" s="226">
        <f>SUMIFS(G16:G67,B16:B67, "Avion")</f>
        <v>1864</v>
      </c>
      <c r="F170" s="226">
        <f>SUMIFS(G71:G134,B71:B134, "Avion")</f>
        <v>115603.68</v>
      </c>
      <c r="G170" s="227">
        <f>SUMIFS(G138:G158,B138:B158, "Avion")</f>
        <v>0</v>
      </c>
      <c r="H170" s="228">
        <f t="shared" si="2"/>
        <v>117467.68</v>
      </c>
      <c r="I170" s="617">
        <f>SUM(J170:L172)</f>
        <v>117467.68</v>
      </c>
      <c r="J170" s="614">
        <f t="shared" ref="J170:L170" si="4">SUM(E170:E172)</f>
        <v>1864</v>
      </c>
      <c r="K170" s="614">
        <f t="shared" si="4"/>
        <v>115603.68</v>
      </c>
      <c r="L170" s="614">
        <f t="shared" si="4"/>
        <v>0</v>
      </c>
      <c r="M170" s="616" t="s">
        <v>276</v>
      </c>
      <c r="N170" s="1"/>
    </row>
    <row r="171" spans="1:26" ht="15.75" customHeight="1">
      <c r="A171" s="1"/>
      <c r="B171" s="1"/>
      <c r="C171" s="1"/>
      <c r="D171" s="222" t="s">
        <v>277</v>
      </c>
      <c r="E171" s="226">
        <f>SUMIFS(G16:G67,B16:B67, "Jet privé")</f>
        <v>0</v>
      </c>
      <c r="F171" s="226">
        <f>SUMIFS(G71:G134,B71:B134, "Jet privé")</f>
        <v>0</v>
      </c>
      <c r="G171" s="227">
        <f>SUMIFS(G138:G158,B138:B158, "Jet privé")</f>
        <v>0</v>
      </c>
      <c r="H171" s="228">
        <f t="shared" si="2"/>
        <v>0</v>
      </c>
      <c r="I171" s="615"/>
      <c r="J171" s="615"/>
      <c r="K171" s="615"/>
      <c r="L171" s="615"/>
      <c r="M171" s="615"/>
      <c r="N171" s="1"/>
    </row>
    <row r="172" spans="1:26" ht="15.75" customHeight="1">
      <c r="A172" s="1"/>
      <c r="B172" s="1"/>
      <c r="C172" s="1"/>
      <c r="D172" s="222" t="s">
        <v>278</v>
      </c>
      <c r="E172" s="226">
        <f>SUMIFS(G16:G67,B16:B67, "Hélicoptère")</f>
        <v>0</v>
      </c>
      <c r="F172" s="226">
        <f>SUMIFS(G71:G134,B71:B134, "Hélicoptère")</f>
        <v>0</v>
      </c>
      <c r="G172" s="227">
        <f>SUMIFS(G138:G158,B138:B158, "Hélicoptère")</f>
        <v>0</v>
      </c>
      <c r="H172" s="228">
        <f t="shared" si="2"/>
        <v>0</v>
      </c>
      <c r="I172" s="576"/>
      <c r="J172" s="576"/>
      <c r="K172" s="576"/>
      <c r="L172" s="576"/>
      <c r="M172" s="576"/>
      <c r="N172" s="1"/>
    </row>
    <row r="173" spans="1:26" ht="15.75" customHeight="1">
      <c r="A173" s="1"/>
      <c r="B173" s="1"/>
      <c r="C173" s="1"/>
      <c r="D173" s="222" t="s">
        <v>270</v>
      </c>
      <c r="E173" s="226">
        <f>SUMIFS(G16:G67,B16:B67, "Train")</f>
        <v>0</v>
      </c>
      <c r="F173" s="226">
        <f>SUMIFS(G71:G134,B71:B134, "Train")</f>
        <v>0</v>
      </c>
      <c r="G173" s="227">
        <f>SUMIFS(G138:G158,B138:B158, "Train")</f>
        <v>0</v>
      </c>
      <c r="H173" s="228">
        <f t="shared" si="2"/>
        <v>0</v>
      </c>
      <c r="I173" s="617">
        <f>SUM(J173:L174)</f>
        <v>0</v>
      </c>
      <c r="J173" s="614">
        <f t="shared" ref="J173:L173" si="5">SUM(E173:E174)</f>
        <v>0</v>
      </c>
      <c r="K173" s="614">
        <f t="shared" si="5"/>
        <v>0</v>
      </c>
      <c r="L173" s="614">
        <f t="shared" si="5"/>
        <v>0</v>
      </c>
      <c r="M173" s="616" t="s">
        <v>279</v>
      </c>
      <c r="N173" s="1"/>
    </row>
    <row r="174" spans="1:26" ht="15.75" customHeight="1">
      <c r="B174" s="1"/>
      <c r="D174" s="222" t="s">
        <v>280</v>
      </c>
      <c r="E174" s="226">
        <f>SUMIFS(G16:G67,B16:B67, "TER")</f>
        <v>0</v>
      </c>
      <c r="F174" s="226">
        <f>SUMIFS(G71:G134,B71:B134, "TER")</f>
        <v>0</v>
      </c>
      <c r="G174" s="227">
        <f>SUMIFS(G138:G158,B138:B158, "TER")</f>
        <v>0</v>
      </c>
      <c r="H174" s="228">
        <f t="shared" si="2"/>
        <v>0</v>
      </c>
      <c r="I174" s="576"/>
      <c r="J174" s="576"/>
      <c r="K174" s="576"/>
      <c r="L174" s="576"/>
      <c r="M174" s="576"/>
      <c r="N174" s="1"/>
    </row>
    <row r="175" spans="1:26" ht="15.75" customHeight="1">
      <c r="B175" s="1"/>
      <c r="D175" s="222" t="s">
        <v>281</v>
      </c>
      <c r="E175" s="226">
        <f>SUMIFS(G16:G67,B16:B67, "Voilier")</f>
        <v>0</v>
      </c>
      <c r="F175" s="226">
        <f>SUMIFS(G71:G134,B71:B134, "Voilier")</f>
        <v>0</v>
      </c>
      <c r="G175" s="227">
        <f>SUMIFS(G138:G158,B138:B158, "Voilier")</f>
        <v>0</v>
      </c>
      <c r="H175" s="228">
        <f t="shared" si="2"/>
        <v>0</v>
      </c>
      <c r="I175" s="617">
        <f>SUM(J175:L178)</f>
        <v>0</v>
      </c>
      <c r="J175" s="614">
        <f t="shared" ref="J175:L175" si="6">SUM(E175:E178)</f>
        <v>0</v>
      </c>
      <c r="K175" s="614">
        <f t="shared" si="6"/>
        <v>0</v>
      </c>
      <c r="L175" s="614">
        <f t="shared" si="6"/>
        <v>0</v>
      </c>
      <c r="M175" s="616" t="s">
        <v>282</v>
      </c>
      <c r="N175" s="1"/>
    </row>
    <row r="176" spans="1:26" ht="15.75" customHeight="1">
      <c r="B176" s="1"/>
      <c r="D176" s="222" t="s">
        <v>283</v>
      </c>
      <c r="E176" s="226">
        <f>SUMIFS(G16:G67,B16:B67, "Zodiac")</f>
        <v>0</v>
      </c>
      <c r="F176" s="226">
        <f>SUMIFS(G71:G134,B71:B134, "Zodiac")</f>
        <v>0</v>
      </c>
      <c r="G176" s="227">
        <f>SUMIFS(G138:G158,B138:B158, "Zodiac")</f>
        <v>0</v>
      </c>
      <c r="H176" s="228">
        <f t="shared" si="2"/>
        <v>0</v>
      </c>
      <c r="I176" s="615"/>
      <c r="J176" s="615"/>
      <c r="K176" s="615"/>
      <c r="L176" s="615"/>
      <c r="M176" s="615"/>
      <c r="N176" s="1"/>
    </row>
    <row r="177" spans="2:13" ht="15.75" customHeight="1">
      <c r="B177" s="1"/>
      <c r="D177" s="222" t="s">
        <v>284</v>
      </c>
      <c r="E177" s="226">
        <f>SUMIFS(G16:G67,B16:B67, "Yacht")</f>
        <v>0</v>
      </c>
      <c r="F177" s="226">
        <f>SUMIFS(G71:G134,B71:B134, "Yacht")</f>
        <v>0</v>
      </c>
      <c r="G177" s="227">
        <f>SUMIFS(G138:G158,B138:B158, "Yacht")</f>
        <v>0</v>
      </c>
      <c r="H177" s="228">
        <f t="shared" si="2"/>
        <v>0</v>
      </c>
      <c r="I177" s="615"/>
      <c r="J177" s="615"/>
      <c r="K177" s="615"/>
      <c r="L177" s="615"/>
      <c r="M177" s="615"/>
    </row>
    <row r="178" spans="2:13" ht="15.75" customHeight="1">
      <c r="B178" s="1"/>
      <c r="D178" s="222" t="s">
        <v>285</v>
      </c>
      <c r="E178" s="226">
        <f>SUMIFS(G16:G67,B16:B67, "Ferry")</f>
        <v>0</v>
      </c>
      <c r="F178" s="226">
        <f>SUMIFS(G71:G134,B71:B134, "Ferry")</f>
        <v>0</v>
      </c>
      <c r="G178" s="227">
        <f>SUMIFS(G138:G158,B138:B158, "Ferry")</f>
        <v>0</v>
      </c>
      <c r="H178" s="228">
        <f t="shared" si="2"/>
        <v>0</v>
      </c>
      <c r="I178" s="576"/>
      <c r="J178" s="576"/>
      <c r="K178" s="576"/>
      <c r="L178" s="576"/>
      <c r="M178" s="576"/>
    </row>
    <row r="179" spans="2:13" ht="15.75" customHeight="1">
      <c r="B179" s="1"/>
      <c r="D179" s="222" t="s">
        <v>271</v>
      </c>
      <c r="E179" s="226">
        <f>SUMIFS(G16:G67,B16:B67, "Déplacement de groupes - En ville ou agglomérations")</f>
        <v>0</v>
      </c>
      <c r="F179" s="226">
        <f>SUMIFS(G71:G134,B71:B134, "Déplacement de groupes - En ville ou agglomérations")</f>
        <v>0</v>
      </c>
      <c r="G179" s="227">
        <f>SUMIFS(G138:G158,B138:B158, "Déplacement de groupes - En ville ou agglomérations")</f>
        <v>0</v>
      </c>
      <c r="H179" s="228">
        <f t="shared" si="2"/>
        <v>0</v>
      </c>
      <c r="I179" s="617">
        <f>SUM(J179:L180)</f>
        <v>0</v>
      </c>
      <c r="J179" s="614">
        <f t="shared" ref="J179:L179" si="7">SUM(E179:E180)</f>
        <v>0</v>
      </c>
      <c r="K179" s="614">
        <f t="shared" si="7"/>
        <v>0</v>
      </c>
      <c r="L179" s="614">
        <f t="shared" si="7"/>
        <v>0</v>
      </c>
      <c r="M179" s="616" t="s">
        <v>286</v>
      </c>
    </row>
    <row r="180" spans="2:13" ht="15.75" customHeight="1">
      <c r="B180" s="1"/>
      <c r="D180" s="229" t="s">
        <v>287</v>
      </c>
      <c r="E180" s="230">
        <f>SUMIFS(G16:G67,B16:B67, "Déplacement de groupes - Hors agglo")</f>
        <v>0</v>
      </c>
      <c r="F180" s="230">
        <f>SUMIFS(G71:G134,B71:B134, "Déplacement de groupes - Hors agglo")</f>
        <v>0</v>
      </c>
      <c r="G180" s="231">
        <f>SUMIFS(G138:G158,B138:B158, "Déplacement de groupes - Hors agglo")</f>
        <v>0</v>
      </c>
      <c r="H180" s="232">
        <f t="shared" si="2"/>
        <v>0</v>
      </c>
      <c r="I180" s="576"/>
      <c r="J180" s="576"/>
      <c r="K180" s="576"/>
      <c r="L180" s="576"/>
      <c r="M180" s="576"/>
    </row>
    <row r="181" spans="2:13" ht="15.75" customHeight="1">
      <c r="D181" s="233" t="s">
        <v>237</v>
      </c>
      <c r="E181" s="234">
        <f t="shared" ref="E181:L181" si="8">SUM(E168:E180)</f>
        <v>1864</v>
      </c>
      <c r="F181" s="234">
        <f t="shared" si="8"/>
        <v>115603.68</v>
      </c>
      <c r="G181" s="235">
        <f t="shared" si="8"/>
        <v>50</v>
      </c>
      <c r="H181" s="235">
        <f t="shared" si="8"/>
        <v>117517.68</v>
      </c>
      <c r="I181" s="236">
        <f t="shared" si="8"/>
        <v>117517.68</v>
      </c>
      <c r="J181" s="236">
        <f t="shared" si="8"/>
        <v>1864</v>
      </c>
      <c r="K181" s="236">
        <f t="shared" si="8"/>
        <v>115603.68</v>
      </c>
      <c r="L181" s="236">
        <f t="shared" si="8"/>
        <v>50</v>
      </c>
      <c r="M181" s="237" t="s">
        <v>237</v>
      </c>
    </row>
    <row r="182" spans="2:13" ht="15.75" customHeight="1"/>
    <row r="183" spans="2:13" ht="15.75" customHeight="1"/>
    <row r="184" spans="2:13" ht="15.75" customHeight="1"/>
    <row r="185" spans="2:13" ht="15.75" customHeight="1"/>
    <row r="186" spans="2:13" ht="15.75" customHeight="1"/>
    <row r="187" spans="2:13" ht="15.75" customHeight="1"/>
    <row r="188" spans="2:13" ht="15.75" customHeight="1"/>
    <row r="189" spans="2:13" ht="15.75" customHeight="1"/>
    <row r="190" spans="2:13" ht="15.75" customHeight="1"/>
    <row r="191" spans="2:13" ht="15.75" customHeight="1"/>
    <row r="192" spans="2:13"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sheetData>
  <mergeCells count="32">
    <mergeCell ref="M179:M180"/>
    <mergeCell ref="I170:I172"/>
    <mergeCell ref="I173:I174"/>
    <mergeCell ref="J173:J174"/>
    <mergeCell ref="J175:J178"/>
    <mergeCell ref="K175:K178"/>
    <mergeCell ref="L175:L178"/>
    <mergeCell ref="M175:M178"/>
    <mergeCell ref="I175:I178"/>
    <mergeCell ref="I179:I180"/>
    <mergeCell ref="J179:J180"/>
    <mergeCell ref="K179:K180"/>
    <mergeCell ref="L179:L180"/>
    <mergeCell ref="M173:M174"/>
    <mergeCell ref="K173:K174"/>
    <mergeCell ref="L173:L174"/>
    <mergeCell ref="D160:F160"/>
    <mergeCell ref="A163:G163"/>
    <mergeCell ref="K170:K172"/>
    <mergeCell ref="L170:L172"/>
    <mergeCell ref="M170:M172"/>
    <mergeCell ref="M168:M169"/>
    <mergeCell ref="I168:I169"/>
    <mergeCell ref="J168:J169"/>
    <mergeCell ref="K168:K169"/>
    <mergeCell ref="L168:L169"/>
    <mergeCell ref="J170:J172"/>
    <mergeCell ref="A2:G2"/>
    <mergeCell ref="J11:O11"/>
    <mergeCell ref="B13:G13"/>
    <mergeCell ref="B69:G69"/>
    <mergeCell ref="B136:G13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Données!$D$37:$D$39</xm:f>
          </x14:formula1>
          <xm:sqref>A16:A67 A71:A134 A138:A158</xm:sqref>
        </x14:dataValidation>
        <x14:dataValidation type="list" allowBlank="1" showErrorMessage="1" xr:uid="{00000000-0002-0000-0800-000001000000}">
          <x14:formula1>
            <xm:f>Données!$H$20:$H$32</xm:f>
          </x14:formula1>
          <xm:sqref>D168:D180 B71:B134 B138:B158 B16:B67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18</vt:i4>
      </vt:variant>
    </vt:vector>
  </HeadingPairs>
  <TitlesOfParts>
    <vt:vector size="18" baseType="lpstr">
      <vt:lpstr>Avancement du Dossier</vt:lpstr>
      <vt:lpstr>Synthèses graphiques</vt:lpstr>
      <vt:lpstr>1- DONNÉES FINANCIÈRES</vt:lpstr>
      <vt:lpstr>2- LIEUX</vt:lpstr>
      <vt:lpstr>3- VEHICULES LEGERS</vt:lpstr>
      <vt:lpstr>4- VEHICULES UTILITAIRES</vt:lpstr>
      <vt:lpstr>5- VEHICULES DE JEU</vt:lpstr>
      <vt:lpstr>6- HÉBERGEMENT</vt:lpstr>
      <vt:lpstr>7- DÉPLACEMENTS PERSONNES</vt:lpstr>
      <vt:lpstr>8- REPAS</vt:lpstr>
      <vt:lpstr>9- DÉCHETS</vt:lpstr>
      <vt:lpstr>10- MOYENS TECHNIQUES</vt:lpstr>
      <vt:lpstr>11-MOYENS SPECIAUX PRISE DE VUE</vt:lpstr>
      <vt:lpstr>12- CARS PROD &amp; REGIE</vt:lpstr>
      <vt:lpstr>13- CANTINES &amp; LOGES</vt:lpstr>
      <vt:lpstr>14- GROUPES ELECTRO</vt:lpstr>
      <vt:lpstr>15- DATA &amp; POST-PROD</vt:lpstr>
      <vt:lpstr>Données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jaeger</dc:creator>
  <cp:lastModifiedBy>manuela collon</cp:lastModifiedBy>
  <dcterms:created xsi:type="dcterms:W3CDTF">2023-12-01T13:02:00Z</dcterms:created>
  <dcterms:modified xsi:type="dcterms:W3CDTF">2025-12-03T11:33:26Z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3AA3A88916A140EA97F5F2FE24569208_12</vt:lpwstr>
  </property>
  <property fmtid="{D5CDD505-2E9C-101B-9397-08002B2CF9AE}" pid="3" name="KSOProductBuildVer">
    <vt:lpwstr>1036-12.2.0.19805</vt:lpwstr>
  </property>
</Properties>
</file>